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3.xml" ContentType="application/vnd.openxmlformats-officedocument.spreadsheetml.worksheet+xml"/>
  <Override PartName="/xl/drawings/drawing7.xml" ContentType="application/vnd.openxmlformats-officedocument.drawing+xml"/>
  <Override PartName="/xl/worksheets/sheet4.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5200" windowHeight="11910" tabRatio="838" activeTab="0"/>
  </bookViews>
  <sheets>
    <sheet name="Berechnung der Werte" sheetId="1" r:id="rId1"/>
    <sheet name="Materialdaten" sheetId="2" r:id="rId2"/>
    <sheet name="Anzahl Rovings" sheetId="3" r:id="rId3"/>
    <sheet name="UD-Gelegelagen" sheetId="4" r:id="rId4"/>
    <sheet name="Dicke der Stegbeschichtung" sheetId="5" r:id="rId5"/>
    <sheet name="Flächensteckung" sheetId="6" r:id="rId6"/>
    <sheet name="Roving-Gelege Umrechnung" sheetId="7" r:id="rId7"/>
  </sheets>
  <definedNames>
    <definedName name="Gurtmaterialien">'Materialdaten'!$C$4:$N$20</definedName>
    <definedName name="Kernmaterial">'Materialdaten'!$C$24:$L$44</definedName>
    <definedName name="Stegmaterial">'Materialdaten'!$B$21:$L$23</definedName>
    <definedName name="Stegmaterialien">'Materialdaten'!$C$21:$L$23</definedName>
  </definedNames>
  <calcPr fullCalcOnLoad="1"/>
</workbook>
</file>

<file path=xl/comments1.xml><?xml version="1.0" encoding="utf-8"?>
<comments xmlns="http://schemas.openxmlformats.org/spreadsheetml/2006/main">
  <authors>
    <author>Baron, Christian</author>
    <author>Christian Baron</author>
    <author>Elke Baron</author>
  </authors>
  <commentList>
    <comment ref="M108" authorId="0">
      <text>
        <r>
          <rPr>
            <sz val="8"/>
            <rFont val="Tahoma"/>
            <family val="2"/>
          </rPr>
          <t>In dieser Spalte erscheinen nur Werte, wenn oben bei der Gurtmaterialwahl ein UD-Gelege gewählt wurde</t>
        </r>
      </text>
    </comment>
    <comment ref="E21" authorId="0">
      <text>
        <r>
          <rPr>
            <sz val="8"/>
            <rFont val="Tahoma"/>
            <family val="2"/>
          </rPr>
          <t>mit der Angabe der Profildicke wird die maximale mögliche Holmhöhe berechnet. Es wird dabei vereinfachend angenommen, dass der Holm an der dicksten Stelle des Profils eingebaut wird.</t>
        </r>
      </text>
    </comment>
    <comment ref="J66" authorId="1">
      <text>
        <r>
          <rPr>
            <b/>
            <sz val="9"/>
            <rFont val="Arial"/>
            <family val="2"/>
          </rPr>
          <t>Christian Baron:</t>
        </r>
        <r>
          <rPr>
            <sz val="9"/>
            <rFont val="Arial"/>
            <family val="2"/>
          </rPr>
          <t xml:space="preserve">
Warum wird hier nicht mit den Faserdaten gerechnet? 
Neben der Faser ist ja auch noch Matrix (Harz) im Holmgurtquerschnitt. Laminiert man UD-Fasern sehr gut, kommt man auf einen Faservolumenanteil von 50%, d.h. die Hälfte des Querschnitts besteht auf Fasern und die andere Hälfte aus Matrix. Da also nur die Hälfte des Querschnitts in einen CFK-Holmgurt aus Fasern bestehet, wird die Festigkeit des Holmquerschnitts halbiert (die Matrixfestigkeit ist vernachlässigbar klein). Hat die Faser eine Zugfestigkeit von 4000MPa kommt also schon mal 2000MPa heraus. Das ist aber der rein theoretische Wert bei der der Holmgurt auch versagen wird/darf. Das da Sicherheiten eingebaut werden müssen ist klar. Vorher aber ist noch eine weitere Reduzierung zu berücksichtigen. Handlaminierte Rovings liegen nie wirklich gerade von einem Ende zum anderen. Fasern liegen in Wellen und kreuzen andere Fasern. Nicht exakt in Belastungsrichtung liegende Fasern haben deutlich schlechtere Festigkeitswerte und schädigen zudem durch vorzeitigen Bruch den Gesamtquerschnitt. Von den 2000MPa sollten daher noch mal 500-800MPa abgezogen werden. Wir sind jetzt schon bei 1500MPa im günstigsten Fall. Jetzt kommt noch ein weiteres Kriterium hinzu, der Holmgurt wird auch Druckbelastet. Wenn man sich die Druckfestigkeit besonders der hochfesten Fasern ansieht, stellt man erschreckt fest, das die Werte nur 50-60% der Zugfestigkeit haben (im Excel-Programm unter Materialdaten unten zu finden). Man kann jetzt den Holmgurt der Flächenoberseite auf Druck auslegen und um 50% vergrößern oder den Rechenwert der Festigkeit des Gurtmaterials entsprechend anpassen. Für den Modellbau bedeutet das dann die 800MPa (=N/mm2) die im Excel-Programm verwendet werden für alle C-Fasern. Die Manntragenden rechnen noch konservativer mit 600MPa! 
Die Festigkeit der verschiedenen C-Fasern bringen bei der Holmauslegung aus all diesen Gründen nicht deutliche Unterschiede bei der Holmauslegung. Der E-Modul ist da schon etwas anderes. Ein hoher E-Modul bringt deutlich weniger Durchbiegung der Flächen. Die unterschiedlichen E-Module der Fasern machen sich deutlich beim Modell bemerkbar, nicht aber deren Festigkeit (wenn man entsprechend auslegt).</t>
        </r>
      </text>
    </comment>
    <comment ref="C33" authorId="2">
      <text>
        <r>
          <rPr>
            <sz val="9"/>
            <rFont val="Arial"/>
            <family val="2"/>
          </rPr>
          <t xml:space="preserve">
Mit diesen beiden Werten wird der maximale Auftrieb bestimmt. Das  Rumpfgewicht wird nicht unberücksichtigt. Die Auftriebskraft ist so groß (in der Regel dreistellig), dass ein 1-2kg (10-20N) Rumpf nicht weiter ins "Gewicht" fällt. Diese Vereinfachung wird durch die meist zu hohen Ca-werte die man eingibt mehr als aufgehoben.
Ich habe mit:
Ca= Auftrieb / 1/2 x V² x Luftdichte x Flügelfläche 
gerechnet. Nach Umstellung auf A und durch die Luftdichte von 1,1881 / 2 = 0,6 erklärt sich auch die 0,6.
Dies ist ein anderer Weg da heranzugehen als über das Rumpfgewicht und das Lastvielfache. Ich habe daher auch das Lastvielfache nachträglich noch ins Excel mit aufgenommen, um zu sehen in welchem Bereich gerechnet wird, wenn man die Fluggeschwindigkeit und den Ca-Wert eingibt. Man kann dadurch die Eingabe der beiden letztgenannten Werte so lange anpassen, bis ein angestrebtes Lastvielfaches herauskommt, wenn man dazu einen bessere Bezug hat. Ich denke, mit der Festlegung des maximalen Biegemoments über den maximal zu erwartenden Auftrieb bei vorgegebener Geschwindigkeitund die Dimensioniertung nicht so abstakt und besser vorstellbar wird.
</t>
        </r>
      </text>
    </comment>
    <comment ref="P108" authorId="1">
      <text>
        <r>
          <rPr>
            <sz val="9"/>
            <rFont val="Arial"/>
            <family val="2"/>
          </rPr>
          <t>Abfrage ob eine Beschichtung beim Holmsteg notwendig ist:
Das Ergebnis wird mit dem Wert des ausgewählten Materials des Steges verglichen.
Tau(steg)= n x G(Rumpf)/0,2/ h1/b=Q(x)/(h1 x b)
Tau(steg)&lt;Tau(zul) =&gt; keine Beschichtung des Steges notwendig
Tau(steg)&gt;Tau(zul) =&gt; Beschichtung des Steges notwendig</t>
        </r>
      </text>
    </comment>
    <comment ref="R108" authorId="1">
      <text>
        <r>
          <rPr>
            <sz val="9"/>
            <rFont val="Arial"/>
            <family val="2"/>
          </rPr>
          <t>Berechnung der Beschichtungsdicke nach Material (GFK oder CFK Beschichtung)
t1=Q(x)/(2 x h1 x Tau(zul))</t>
        </r>
      </text>
    </comment>
  </commentList>
</comments>
</file>

<file path=xl/comments7.xml><?xml version="1.0" encoding="utf-8"?>
<comments xmlns="http://schemas.openxmlformats.org/spreadsheetml/2006/main">
  <authors>
    <author>Baron, Christian</author>
  </authors>
  <commentList>
    <comment ref="C8" authorId="0">
      <text>
        <r>
          <rPr>
            <b/>
            <sz val="8"/>
            <rFont val="Tahoma"/>
            <family val="2"/>
          </rPr>
          <t>Baron, Christian:</t>
        </r>
        <r>
          <rPr>
            <sz val="8"/>
            <rFont val="Tahoma"/>
            <family val="2"/>
          </rPr>
          <t xml:space="preserve">
Ein Roving ist dann bei dem gegebenen Flächengewicht und dem verwendeten Roving mit der tex-Zahl auf diese Breite gebracht worden.</t>
        </r>
      </text>
    </comment>
  </commentList>
</comments>
</file>

<file path=xl/sharedStrings.xml><?xml version="1.0" encoding="utf-8"?>
<sst xmlns="http://schemas.openxmlformats.org/spreadsheetml/2006/main" count="339" uniqueCount="264">
  <si>
    <t>V=</t>
  </si>
  <si>
    <t>F=</t>
  </si>
  <si>
    <t>A= Auftrieb in [ N ]</t>
  </si>
  <si>
    <t>b=</t>
  </si>
  <si>
    <t>mm</t>
  </si>
  <si>
    <t>n</t>
  </si>
  <si>
    <t>N</t>
  </si>
  <si>
    <t>Tau(zul)</t>
  </si>
  <si>
    <t>t in mm</t>
  </si>
  <si>
    <t>l in mm</t>
  </si>
  <si>
    <t>Profildicke in %</t>
  </si>
  <si>
    <r>
      <t>t</t>
    </r>
    <r>
      <rPr>
        <vertAlign val="subscript"/>
        <sz val="12"/>
        <rFont val="Arial"/>
        <family val="2"/>
      </rPr>
      <t>1</t>
    </r>
    <r>
      <rPr>
        <sz val="12"/>
        <rFont val="Arial"/>
        <family val="2"/>
      </rPr>
      <t>=</t>
    </r>
  </si>
  <si>
    <r>
      <t>t</t>
    </r>
    <r>
      <rPr>
        <vertAlign val="subscript"/>
        <sz val="12"/>
        <rFont val="Arial"/>
        <family val="2"/>
      </rPr>
      <t>2</t>
    </r>
    <r>
      <rPr>
        <sz val="12"/>
        <rFont val="Arial"/>
        <family val="2"/>
      </rPr>
      <t>=</t>
    </r>
  </si>
  <si>
    <r>
      <t>t</t>
    </r>
    <r>
      <rPr>
        <vertAlign val="subscript"/>
        <sz val="12"/>
        <rFont val="Arial"/>
        <family val="2"/>
      </rPr>
      <t>3</t>
    </r>
    <r>
      <rPr>
        <sz val="12"/>
        <rFont val="Arial"/>
        <family val="2"/>
      </rPr>
      <t>=</t>
    </r>
  </si>
  <si>
    <r>
      <t>t</t>
    </r>
    <r>
      <rPr>
        <vertAlign val="subscript"/>
        <sz val="12"/>
        <rFont val="Arial"/>
        <family val="2"/>
      </rPr>
      <t>4</t>
    </r>
    <r>
      <rPr>
        <sz val="12"/>
        <rFont val="Arial"/>
        <family val="2"/>
      </rPr>
      <t>=</t>
    </r>
  </si>
  <si>
    <r>
      <t>t</t>
    </r>
    <r>
      <rPr>
        <vertAlign val="subscript"/>
        <sz val="12"/>
        <rFont val="Arial"/>
        <family val="2"/>
      </rPr>
      <t>5</t>
    </r>
    <r>
      <rPr>
        <sz val="12"/>
        <rFont val="Arial"/>
        <family val="2"/>
      </rPr>
      <t>=</t>
    </r>
  </si>
  <si>
    <r>
      <t>I</t>
    </r>
    <r>
      <rPr>
        <vertAlign val="subscript"/>
        <sz val="12"/>
        <rFont val="Arial"/>
        <family val="2"/>
      </rPr>
      <t>1</t>
    </r>
    <r>
      <rPr>
        <sz val="12"/>
        <rFont val="Arial"/>
        <family val="2"/>
      </rPr>
      <t>= halbe Rumpfbreite</t>
    </r>
  </si>
  <si>
    <t xml:space="preserve"> </t>
  </si>
  <si>
    <r>
      <t>Tabelle zur Eingabe der Flächengeometrie</t>
    </r>
    <r>
      <rPr>
        <sz val="12"/>
        <rFont val="Arial"/>
        <family val="0"/>
      </rPr>
      <t>:</t>
    </r>
  </si>
  <si>
    <r>
      <t>c</t>
    </r>
    <r>
      <rPr>
        <vertAlign val="subscript"/>
        <sz val="12"/>
        <rFont val="Arial"/>
        <family val="2"/>
      </rPr>
      <t>a</t>
    </r>
    <r>
      <rPr>
        <sz val="12"/>
        <rFont val="Arial"/>
        <family val="0"/>
      </rPr>
      <t>=</t>
    </r>
  </si>
  <si>
    <t>A=</t>
  </si>
  <si>
    <r>
      <t>m</t>
    </r>
    <r>
      <rPr>
        <vertAlign val="superscript"/>
        <sz val="12"/>
        <rFont val="Arial"/>
        <family val="2"/>
      </rPr>
      <t>2</t>
    </r>
  </si>
  <si>
    <t>maximale Fluggeschwindigkeit V</t>
  </si>
  <si>
    <r>
      <t>maximaler Auftriebsbeiwert c</t>
    </r>
    <r>
      <rPr>
        <vertAlign val="subscript"/>
        <sz val="12"/>
        <rFont val="Arial"/>
        <family val="2"/>
      </rPr>
      <t>a</t>
    </r>
  </si>
  <si>
    <t>Flügelfläche</t>
  </si>
  <si>
    <t>Damit erhält man diesen Auftrieb:</t>
  </si>
  <si>
    <t>Mit diesem Auftrieb errechnet sich folgendes maximale Biegemoment in Rumpfmitte:</t>
  </si>
  <si>
    <t>Die Spannweite der Tragfläche (b) ist:</t>
  </si>
  <si>
    <t>Nmm</t>
  </si>
  <si>
    <r>
      <t>M</t>
    </r>
    <r>
      <rPr>
        <vertAlign val="subscript"/>
        <sz val="12"/>
        <rFont val="Arial"/>
        <family val="2"/>
      </rPr>
      <t>B(max)</t>
    </r>
    <r>
      <rPr>
        <sz val="12"/>
        <rFont val="Arial"/>
        <family val="2"/>
      </rPr>
      <t>=</t>
    </r>
  </si>
  <si>
    <t>Dies ist das maximale Biegemoment:</t>
  </si>
  <si>
    <t>Mb(x) = q x X**2 / 2</t>
  </si>
  <si>
    <t>q = Mb(max) x 2 / (b/2)**2</t>
  </si>
  <si>
    <t>q=</t>
  </si>
  <si>
    <t>N/mm</t>
  </si>
  <si>
    <t>Für die Berechnung der örtlichen Beanspruchung, z.B. an einer beliebigen Stelle der Tragfläche, ist ausgehend von diesem bisher berechnetem Mb(max) das Mb an jeder Stelle der Tragfläche folgendermaßen zu berechnen:</t>
  </si>
  <si>
    <t xml:space="preserve">mit dem maximalen Biegemoment (Mb(max)) erhält man durch Umstellen der Gleichung die örtliche Beanspruchung </t>
  </si>
  <si>
    <t>Der nächste Punkt ist die Querkraftbeanspruchung des Flächenholms.</t>
  </si>
  <si>
    <t>Q(x)= q x X</t>
  </si>
  <si>
    <t>Q(max)= q x b/2</t>
  </si>
  <si>
    <t>Q(max)=</t>
  </si>
  <si>
    <t>Eingabe der Stellen (L(x)) in Spannweitenrichtung an der Tragflächenhälfte, an der die Werte ermittelt werden sollen. Es sollen zudem für die Breite des Holms an den jeweiligen Stellen vorläufige Werte eingegeben werden. Die Breite (b) kann dann anschießend sofort verändert werden um Werte zu erhalten, die durch den Materialeinsatz leichter zu realisieren sind.</t>
  </si>
  <si>
    <t>Maximalwerte in der Rumpfmitte (L=0)</t>
  </si>
  <si>
    <t>L(x) in mm</t>
  </si>
  <si>
    <t>Wert an der Tragflächen Wurzelrippe</t>
  </si>
  <si>
    <t>Werte z.B. am Ende des ersten Tragflächentrapezes</t>
  </si>
  <si>
    <t>Wert z.B. am Ende des zweiten Trapezes</t>
  </si>
  <si>
    <t>Wert z.B. am Ende des dritten Trapezes</t>
  </si>
  <si>
    <t>b(x) in mm</t>
  </si>
  <si>
    <t>Ein Zwischenwert (beliebig einzugeben)</t>
  </si>
  <si>
    <t>Erklärungen der Tabellenwerte:</t>
  </si>
  <si>
    <t>Abstand von der Rumpfmittellinie</t>
  </si>
  <si>
    <t>Holmbreite an dieser Stelle</t>
  </si>
  <si>
    <t>Querkraft an der Stelle die L(x) angibt</t>
  </si>
  <si>
    <t>Biegemoment an der Stelle die L(x) angibt</t>
  </si>
  <si>
    <t>Das erforderliche Widerstandsmoment</t>
  </si>
  <si>
    <t xml:space="preserve">Die sich ergebende Querschnittsfläche die durch die Querkraft beansprucht wird </t>
  </si>
  <si>
    <t>Höhe des Steges zwischen den Holmgurten (siehe Skizze)</t>
  </si>
  <si>
    <t>Profilhöhe (siehe Skizze) an der Stelle die L(x) angibt</t>
  </si>
  <si>
    <t>Profilhöhe (siehe Skizze) um die Beplankungs- /Schalendicke reduziert</t>
  </si>
  <si>
    <t>Höhe eines Holmgurts (siehe Skizze)</t>
  </si>
  <si>
    <t>Anzahl der Rovings an der Stelle die L(x) angibt</t>
  </si>
  <si>
    <t>Mb(x) in Nmm</t>
  </si>
  <si>
    <t>Q(x) in N</t>
  </si>
  <si>
    <t>H in mm</t>
  </si>
  <si>
    <t>h in mm</t>
  </si>
  <si>
    <r>
      <t>Wb(erf) in mm</t>
    </r>
    <r>
      <rPr>
        <vertAlign val="superscript"/>
        <sz val="12"/>
        <rFont val="Arial"/>
        <family val="2"/>
      </rPr>
      <t>3</t>
    </r>
  </si>
  <si>
    <r>
      <t>F(erf) in mm</t>
    </r>
    <r>
      <rPr>
        <vertAlign val="superscript"/>
        <sz val="12"/>
        <rFont val="Arial"/>
        <family val="2"/>
      </rPr>
      <t>2</t>
    </r>
  </si>
  <si>
    <t>h1 in mm</t>
  </si>
  <si>
    <t>t1 in mm</t>
  </si>
  <si>
    <t>Berechnung einer Flächensteckverbindung</t>
  </si>
  <si>
    <t>Steckverbindung mit rundem Querschnitt</t>
  </si>
  <si>
    <t>Aus CFK</t>
  </si>
  <si>
    <t>Aus GFK</t>
  </si>
  <si>
    <t>Aus Stahl</t>
  </si>
  <si>
    <t>Berechnete Mindeststabbreite in mm</t>
  </si>
  <si>
    <t>Stabhöhe in der Rechnung in mm</t>
  </si>
  <si>
    <t>Berechneter Mindestdurchmesser in mm</t>
  </si>
  <si>
    <t>Material</t>
  </si>
  <si>
    <t>CFK Gewebe</t>
  </si>
  <si>
    <t>Rohacell 51</t>
  </si>
  <si>
    <t>Rohacell 31</t>
  </si>
  <si>
    <t>Rohacell 71</t>
  </si>
  <si>
    <t>Birkensperrholz</t>
  </si>
  <si>
    <t>Buchensperrholz</t>
  </si>
  <si>
    <t>GFK Gewebe</t>
  </si>
  <si>
    <t>Kiefernholz</t>
  </si>
  <si>
    <t>Stahl</t>
  </si>
  <si>
    <r>
      <t>t</t>
    </r>
    <r>
      <rPr>
        <vertAlign val="subscript"/>
        <sz val="12"/>
        <rFont val="Arial"/>
        <family val="2"/>
      </rPr>
      <t>6</t>
    </r>
    <r>
      <rPr>
        <sz val="12"/>
        <rFont val="Arial"/>
        <family val="2"/>
      </rPr>
      <t>=</t>
    </r>
  </si>
  <si>
    <t>Materialkennzahlen</t>
  </si>
  <si>
    <t>Materialien</t>
  </si>
  <si>
    <t>Spezifikation</t>
  </si>
  <si>
    <t>Querschitts-flächen  [mm²]</t>
  </si>
  <si>
    <t>Druckfestig-keit   [N/mm²]</t>
  </si>
  <si>
    <t>Zugfestigkeit [N/mm²]</t>
  </si>
  <si>
    <t>Schubfestig-keit        Tau(zul) [N/mm²]</t>
  </si>
  <si>
    <t>Bruch-dehnung [%]</t>
  </si>
  <si>
    <r>
      <t>Dichte [kg/m</t>
    </r>
    <r>
      <rPr>
        <vertAlign val="superscript"/>
        <sz val="11"/>
        <rFont val="Arial"/>
        <family val="2"/>
      </rPr>
      <t>³]</t>
    </r>
  </si>
  <si>
    <t>Gurtmaterialien</t>
  </si>
  <si>
    <t>GfK Rovings 1,0mm²</t>
  </si>
  <si>
    <t>GfK Rovings 2,0mm²</t>
  </si>
  <si>
    <t>Stegmaterialien</t>
  </si>
  <si>
    <t>AFK (Aramid-)gewebe</t>
  </si>
  <si>
    <t>Kernmaterial</t>
  </si>
  <si>
    <t>längs</t>
  </si>
  <si>
    <t>quer</t>
  </si>
  <si>
    <t>PS20</t>
  </si>
  <si>
    <t>PS30</t>
  </si>
  <si>
    <t>Roofmate</t>
  </si>
  <si>
    <t>Titan</t>
  </si>
  <si>
    <t>Aluminium</t>
  </si>
  <si>
    <t>Al-Mg 2,5</t>
  </si>
  <si>
    <t>Stahldraht</t>
  </si>
  <si>
    <t>*für eine Rohdichte von 150kg/m3</t>
  </si>
  <si>
    <t>Festigkeit von Klebe-Verbindungen</t>
  </si>
  <si>
    <t>Schubfestigkeit Tau N/mm2</t>
  </si>
  <si>
    <t>Holz/Holz</t>
  </si>
  <si>
    <t>GFK/Holz</t>
  </si>
  <si>
    <t>GFK/GFK</t>
  </si>
  <si>
    <t>Für den rechteckigen Querschnitt wird verwendet:</t>
  </si>
  <si>
    <t>Für den runden Vollquerschnitt wird verwendet:</t>
  </si>
  <si>
    <t>b= Mb(Verbindungspunkt) x 6 / Sigma (Material) x (Steghöhe h1 - 3mm)**2</t>
  </si>
  <si>
    <t>D=3.Wurzel (((Mb(Verbindungspunkt))/(Sigma(Material)*0,1))</t>
  </si>
  <si>
    <t>maximal möglicher Durchmesser aufgrund der gewählten Holmstegbreite in mm</t>
  </si>
  <si>
    <t>maximal mögliche Stabbreite aufgrund der gewählten Holmstegbreite in mm</t>
  </si>
  <si>
    <r>
      <t>Mit den Werten der Holmberechnung ist es möglich, an den Knickstellen der Tragfläche, den nötigen Querschnitt einer Tragflächensteckung zu bestimmen. Hierzu wird das M</t>
    </r>
    <r>
      <rPr>
        <vertAlign val="subscript"/>
        <sz val="12"/>
        <rFont val="Arial"/>
        <family val="2"/>
      </rPr>
      <t>b(x)</t>
    </r>
    <r>
      <rPr>
        <sz val="12"/>
        <rFont val="Arial"/>
        <family val="2"/>
      </rPr>
      <t xml:space="preserve"> dieser Stelle aus der Tabelle der Ergebnisse </t>
    </r>
    <r>
      <rPr>
        <sz val="12"/>
        <rFont val="Arial"/>
        <family val="0"/>
      </rPr>
      <t>eingesetzt. Die Ergebnisse in der unten aufgeführten Tabelle ergeben sich daher automatisch mit den Ergebnissen aus 'Berechnung der Werte'.</t>
    </r>
  </si>
  <si>
    <t>Steckverbindung mit rechteckigem Querschnitt</t>
  </si>
  <si>
    <t>Breite des Stabes wird berechnet und mit b4 - 3mm anschließend verglichen, Höhe ist h1 - 3mm. Die 3mm werden für den Platzbedarf einer Hülle um den Stab abgezogen.</t>
  </si>
  <si>
    <t>Ist die berechnete Stabbreite bei rechteckigem Querschnitt (D16-D23, G16-G23, J16-J23) größer als die Werte der maximal möglichen Stabbreite (E16-E23, H16-H23, K16-K23), so ist der Holmsteg an der Stelle der Steckverbindung zu verbreitern. Das gleiche gilt für die Rechnungen mit Kreisquerschnitt.</t>
  </si>
  <si>
    <t>Beplankungsdicke:</t>
  </si>
  <si>
    <t>C Rovings HTA 24k</t>
  </si>
  <si>
    <t>C Rovings HTA12k</t>
  </si>
  <si>
    <t>CFK</t>
  </si>
  <si>
    <t>Aramid Rovings</t>
  </si>
  <si>
    <t>AFK</t>
  </si>
  <si>
    <t>GFK</t>
  </si>
  <si>
    <r>
      <t>[N/mm</t>
    </r>
    <r>
      <rPr>
        <vertAlign val="superscript"/>
        <sz val="10"/>
        <rFont val="Arial"/>
        <family val="2"/>
      </rPr>
      <t>2</t>
    </r>
    <r>
      <rPr>
        <sz val="10"/>
        <rFont val="Arial"/>
        <family val="2"/>
      </rPr>
      <t>]</t>
    </r>
  </si>
  <si>
    <t>Polystahl</t>
  </si>
  <si>
    <t>GFK-Ex</t>
  </si>
  <si>
    <t>Sigma (zul.)</t>
  </si>
  <si>
    <t xml:space="preserve">Querschnitt des Rovings </t>
  </si>
  <si>
    <t>Wert z.B. am Ende des fünften Trapezes (falls vorhanden)</t>
  </si>
  <si>
    <t>Wert z.B. am Ende des vierten Trapezes (falls vorhanden)</t>
  </si>
  <si>
    <t>C Rovings C60</t>
  </si>
  <si>
    <t>Das Gesamtgewicht des Modells:</t>
  </si>
  <si>
    <t>G=</t>
  </si>
  <si>
    <t>Das Lastvielfache n errechnet sich damit zu:</t>
  </si>
  <si>
    <t>n=</t>
  </si>
  <si>
    <t>Hier bitte das Material für die Stegbeschichtung wählen:</t>
  </si>
  <si>
    <t>Styropor PS20</t>
  </si>
  <si>
    <t>Styropor PS30</t>
  </si>
  <si>
    <t>PVC Hartschaum 30</t>
  </si>
  <si>
    <t>PVC Hartschaum 40</t>
  </si>
  <si>
    <t>PVC Hartschaum 60</t>
  </si>
  <si>
    <t>PVC Hartschaum 80</t>
  </si>
  <si>
    <t>Balsaholz längs*</t>
  </si>
  <si>
    <t>Balsaholz quer</t>
  </si>
  <si>
    <t>Kiefernholz längs</t>
  </si>
  <si>
    <t>Kiefernholz quer</t>
  </si>
  <si>
    <t>Buchenholz längs</t>
  </si>
  <si>
    <t>Buchenholz quer</t>
  </si>
  <si>
    <t>Pappelholz längs</t>
  </si>
  <si>
    <t>Pappelholz quer</t>
  </si>
  <si>
    <t>Abachi längs</t>
  </si>
  <si>
    <t>Hier bitte das Material für den Holmsteg wählen:</t>
  </si>
  <si>
    <t>Holmsteg</t>
  </si>
  <si>
    <t>Tau(zul) Kernmaterial</t>
  </si>
  <si>
    <t>Hier bitte die Dicke der Beplankung oder der Schalendicke eingeben falls die Holmgurte darunter liegen und nicht bis zur größten Profildicke gesetzt werden können:</t>
  </si>
  <si>
    <t>Hier sind die Werte zu sehen die bei der gegenwärtigen Rechnung verwendet werden:</t>
  </si>
  <si>
    <t xml:space="preserve">Zuerst werden die Anzahl der Trapeze einer Tragflächenhälfte eingegeben. Es wird die Flächentiefe an der Wurzel und an den Trapezabschnitten benötigt (t) und die Längen der Abschnitte(l). Die zur Anwendung kommenden Profile sind für die Berechnung nicht von Bedeutung, wohl aber die Profildicken. Daher wird die Profildicke zu jeder Flächentiefe in % benötigt. Bitte diese Werte in die Tabelle eingeben. Im Beispiel wird eine Fläche mit fünf Trapezen gezeigt. Hat die zu berechnende Fläche nur zwei oder drei Trapeze, werden die weiteren Felder nicht ausgefüllt (gleich Null setzten). </t>
  </si>
  <si>
    <r>
      <t>Der Auftrieb den die Tragfläche produziert, muß von der Konstruktion aufgenommen werden. Dies führt zu einer Biege-, Torsions- und Querkraftbeanspruchung. Der Auftrieb der Tragfläche berechnet sich mit den in den roten Feldern einzugebenden Werten für den maximale Auftriebsbeiwert c</t>
    </r>
    <r>
      <rPr>
        <vertAlign val="subscript"/>
        <sz val="12"/>
        <rFont val="Arial"/>
        <family val="2"/>
      </rPr>
      <t>a</t>
    </r>
    <r>
      <rPr>
        <sz val="12"/>
        <rFont val="Arial"/>
        <family val="2"/>
      </rPr>
      <t xml:space="preserve"> und die maximal zu erwartende Fluggeschwindigkeit (V) in m/s</t>
    </r>
    <r>
      <rPr>
        <vertAlign val="superscript"/>
        <sz val="12"/>
        <rFont val="Arial"/>
        <family val="2"/>
      </rPr>
      <t>2</t>
    </r>
    <r>
      <rPr>
        <sz val="12"/>
        <rFont val="Arial"/>
        <family val="2"/>
      </rPr>
      <t>. Als Standardwerte können hier c</t>
    </r>
    <r>
      <rPr>
        <vertAlign val="subscript"/>
        <sz val="12"/>
        <rFont val="Arial"/>
        <family val="2"/>
      </rPr>
      <t>a</t>
    </r>
    <r>
      <rPr>
        <sz val="12"/>
        <rFont val="Arial"/>
        <family val="2"/>
      </rPr>
      <t xml:space="preserve">=1,0 und V=40 eingegeben werden. </t>
    </r>
  </si>
  <si>
    <r>
      <t xml:space="preserve">Eingabefelder sind </t>
    </r>
    <r>
      <rPr>
        <sz val="14"/>
        <color indexed="10"/>
        <rFont val="Arial"/>
        <family val="2"/>
      </rPr>
      <t>rot</t>
    </r>
  </si>
  <si>
    <r>
      <t xml:space="preserve">Ergebnisfelder sind </t>
    </r>
    <r>
      <rPr>
        <sz val="14"/>
        <color indexed="50"/>
        <rFont val="Arial"/>
        <family val="2"/>
      </rPr>
      <t>grün</t>
    </r>
  </si>
  <si>
    <r>
      <t xml:space="preserve">Ergebnisfeld in </t>
    </r>
    <r>
      <rPr>
        <sz val="14"/>
        <color indexed="40"/>
        <rFont val="Arial"/>
        <family val="2"/>
      </rPr>
      <t xml:space="preserve">blau </t>
    </r>
    <r>
      <rPr>
        <sz val="14"/>
        <rFont val="Arial"/>
        <family val="2"/>
      </rPr>
      <t>ist als Diagramm vorhanden</t>
    </r>
  </si>
  <si>
    <t>Garnfeinheit in tex</t>
  </si>
  <si>
    <r>
      <t>Elastizitäts-modul [N/mm</t>
    </r>
    <r>
      <rPr>
        <vertAlign val="superscript"/>
        <sz val="11"/>
        <rFont val="Arial"/>
        <family val="2"/>
      </rPr>
      <t>² ]</t>
    </r>
  </si>
  <si>
    <r>
      <t xml:space="preserve">Umrechnung bei </t>
    </r>
    <r>
      <rPr>
        <b/>
        <i/>
        <u val="single"/>
        <sz val="10"/>
        <rFont val="Arial"/>
        <family val="2"/>
      </rPr>
      <t>gleichem</t>
    </r>
    <r>
      <rPr>
        <b/>
        <u val="single"/>
        <sz val="10"/>
        <rFont val="Arial"/>
        <family val="2"/>
      </rPr>
      <t xml:space="preserve"> Fasertyp (Roving / Gelege):</t>
    </r>
  </si>
  <si>
    <t>Garnfeinheit Roving in [tex]:</t>
  </si>
  <si>
    <t>Anzahl Rovings:</t>
  </si>
  <si>
    <t>Flächengewicht Gelege in [g/m²]:</t>
  </si>
  <si>
    <t>Gelegebreite, die der Anzahl der Rovings entspricht in [mm]:</t>
  </si>
  <si>
    <r>
      <t xml:space="preserve">Umrechnung bei </t>
    </r>
    <r>
      <rPr>
        <b/>
        <i/>
        <u val="single"/>
        <sz val="10"/>
        <rFont val="Arial"/>
        <family val="2"/>
      </rPr>
      <t>unterschiedlichem</t>
    </r>
    <r>
      <rPr>
        <b/>
        <u val="single"/>
        <sz val="10"/>
        <rFont val="Arial"/>
        <family val="2"/>
      </rPr>
      <t xml:space="preserve"> Fasertyp (Roving / Gelege):</t>
    </r>
  </si>
  <si>
    <t>Zugfestigkeit Roving [MPa]:</t>
  </si>
  <si>
    <t>Garnfeinheit (tex) Roving in [g/km]:</t>
  </si>
  <si>
    <t>Dichte Rovings in [g/cm³]:</t>
  </si>
  <si>
    <t>Zugfestigkeit Gelege [MPa]:</t>
  </si>
  <si>
    <t>Erstellt von Jaromir Ufer</t>
  </si>
  <si>
    <t>UD-CST150/300</t>
  </si>
  <si>
    <t>UD-CST200/300</t>
  </si>
  <si>
    <t>UD-CS250/244</t>
  </si>
  <si>
    <t>Rovinganzahl = Gelegebreite x Flächengewicht / tex-Zahl</t>
  </si>
  <si>
    <t>UHM K63712</t>
  </si>
  <si>
    <t>T700</t>
  </si>
  <si>
    <t>AS4</t>
  </si>
  <si>
    <t>Faser von Sumitomo, Dichte 2,12, Zugfestigkeit 2600MPa, Zug E-Modul 640GPa, Bruchdehnung 0,4%</t>
  </si>
  <si>
    <t>Flächengewicht bei UD-Gelegen</t>
  </si>
  <si>
    <t>Flächengewicht des UD-Geleges</t>
  </si>
  <si>
    <t>Tex-Zahl</t>
  </si>
  <si>
    <t>UD-CST50/300</t>
  </si>
  <si>
    <t>UD-CST80/200</t>
  </si>
  <si>
    <t>UD-CST100/300</t>
  </si>
  <si>
    <t>UD-CST125/300</t>
  </si>
  <si>
    <t>UD-CST300/50</t>
  </si>
  <si>
    <t>CFK-UD-Gelege</t>
  </si>
  <si>
    <t>Faser des UD-Geleges</t>
  </si>
  <si>
    <t>1 tex: 1 Gramm pro 1000 Meter Garn oder Roving</t>
  </si>
  <si>
    <t>Holmberechnung für Sandwich- oder Schalenbautragflächen</t>
  </si>
  <si>
    <t>Das Kopieren und die Weitergabe dieses Programms für nicht kommerzielle Zwecke ist unter Nennung der Quelle erlaubt</t>
  </si>
  <si>
    <t>An dieser Stelle kann der Roving oder das UD-Gelege für den Holmgurt gewählt werden:</t>
  </si>
  <si>
    <t>Biegefestigkeit      Sigma (zul) [N/mm²]</t>
  </si>
  <si>
    <t>Rechnung für UD-Gelege:</t>
  </si>
  <si>
    <t>Anzahl Lagen</t>
  </si>
  <si>
    <t>m/s</t>
  </si>
  <si>
    <t>mm³</t>
  </si>
  <si>
    <t xml:space="preserve">Querschnittsfläche eines Holmgurts </t>
  </si>
  <si>
    <t>12k = 12000 filaments = 800 tex, have a cross section of 0.7mm²</t>
  </si>
  <si>
    <t>24k = 24000 filaments = 1600 tex, have a cross section of 1.5mm²</t>
  </si>
  <si>
    <t>36k = 36000 filaments = 2400 tex, have a cross section of 2.1mm²</t>
  </si>
  <si>
    <t>Quelle: Toray</t>
  </si>
  <si>
    <t>Stützstoffeinlage (nicht lasttragend)</t>
  </si>
  <si>
    <t>Mbmax=</t>
  </si>
  <si>
    <t>N/mm²</t>
  </si>
  <si>
    <t>Sigma=</t>
  </si>
  <si>
    <t>Breite des Verbinders (B):</t>
  </si>
  <si>
    <t>Maximale Höhe (h) des Stützstoffs im Verbinder=</t>
  </si>
  <si>
    <t>Gewählte Dicke des Verbinders (H):</t>
  </si>
  <si>
    <t>Maximale Dicke des Verbinders (H):</t>
  </si>
  <si>
    <t>Dicke (c)=</t>
  </si>
  <si>
    <t xml:space="preserve">Bei negativen Werten an dieser Stelle müssen die Abmessungen des Verbinders vergrößert werden um mit Stützstoff zu arbeiten. </t>
  </si>
  <si>
    <t>m</t>
  </si>
  <si>
    <t>Abfangradius r=</t>
  </si>
  <si>
    <t>Bitte die Kommentare bei bestimmten Werten beachten! Kommentare werden bei Excel sichtbar wenn der Cursor auf das entsprechende Feld kommt. Felder mit einem Kommentar haben rechts oben ein rotes Dreieck.</t>
  </si>
  <si>
    <t>T300</t>
  </si>
  <si>
    <t>T800</t>
  </si>
  <si>
    <t>MR60H24P</t>
  </si>
  <si>
    <t>Faser</t>
  </si>
  <si>
    <t>Faserdurchmesser in mm</t>
  </si>
  <si>
    <t>Faserquerschnitt in mm^2</t>
  </si>
  <si>
    <t>0,19635 x 10^-4</t>
  </si>
  <si>
    <t>0,38485 x 10^-4</t>
  </si>
  <si>
    <t>Fläche 24k</t>
  </si>
  <si>
    <t>60% Faservolumen</t>
  </si>
  <si>
    <t>Für die Anzahlberechnung zu verwenden</t>
  </si>
  <si>
    <t>Scherbeanspruchung des Stegkernes</t>
  </si>
  <si>
    <r>
      <t>Tau(steg) in N/mm</t>
    </r>
    <r>
      <rPr>
        <vertAlign val="superscript"/>
        <sz val="12"/>
        <rFont val="Arial"/>
        <family val="2"/>
      </rPr>
      <t>2</t>
    </r>
  </si>
  <si>
    <t>Sigma (druckf.)</t>
  </si>
  <si>
    <t>längs bedeutet, dass der Faserverlauf des Holzes in Spannweitenrichtung verläuft</t>
  </si>
  <si>
    <t>quer bedeutet, dass der Faserverlauf des Holzes von Holmgurt zu Holmgurt verläuft</t>
  </si>
  <si>
    <t>Durchbiegung am Flächenende:</t>
  </si>
  <si>
    <t>E-Modul der verwendeten Faser</t>
  </si>
  <si>
    <t>J=</t>
  </si>
  <si>
    <t>Berechnung des Flächenträgheitsmoments des Holmquerschnitts</t>
  </si>
  <si>
    <t>W® = 1/2 x M(max) x b/2 x b/2 / E-Modul(Holmgurt) / J</t>
  </si>
  <si>
    <t>W®=</t>
  </si>
  <si>
    <t>Berechnung Holmgurt</t>
  </si>
  <si>
    <t>Berechnung Holmsteg</t>
  </si>
  <si>
    <t>Vergleich der Scherbeanspruchung des Steges mit dem gewählten Materialwert (zusätzliche Beschichtung notwendig oder nicht)</t>
  </si>
  <si>
    <t>Dicke der Stegbeschichtung (siehe Skizze) ohne Berücksichtigung des verwendeten Holmstegkernmaterials</t>
  </si>
  <si>
    <t>W®</t>
  </si>
  <si>
    <t>Dyna</t>
  </si>
  <si>
    <t>(C) Christian Baron 11.2013</t>
  </si>
  <si>
    <t>Länge des Verbinders ist mit 5 mal der Profilhöhe gerechnet (eine Seite der Verbinderlänge):</t>
  </si>
  <si>
    <t>Verbinderlänge =</t>
  </si>
  <si>
    <t>CFK Rovings C50 T024 EPY SGL Sigrafi</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</si>
</sst>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407]dddd\,\ d\.\ mmmm\ yyyy"/>
    <numFmt numFmtId="174" formatCode="&quot;Ja&quot;;&quot;Ja&quot;;&quot;Nein&quot;"/>
    <numFmt numFmtId="175" formatCode="&quot;Wahr&quot;;&quot;Wahr&quot;;&quot;Falsch&quot;"/>
    <numFmt numFmtId="176" formatCode="&quot;Ein&quot;;&quot;Ein&quot;;&quot;Aus&quot;"/>
    <numFmt numFmtId="177" formatCode="[$€-2]\ #,##0.00_);[Red]\([$€-2]\ #,##0.00\)"/>
    <numFmt numFmtId="178" formatCode="0.0000000"/>
    <numFmt numFmtId="179" formatCode="0.000000"/>
    <numFmt numFmtId="180" formatCode="0.00000"/>
    <numFmt numFmtId="181" formatCode="0.0000"/>
    <numFmt numFmtId="182" formatCode="0.000"/>
  </numFmts>
  <fonts count="85">
    <font>
      <sz val="12"/>
      <name val="Arial"/>
      <family val="0"/>
    </font>
    <font>
      <vertAlign val="subscript"/>
      <sz val="12"/>
      <name val="Arial"/>
      <family val="2"/>
    </font>
    <font>
      <b/>
      <u val="single"/>
      <sz val="14"/>
      <name val="Arial"/>
      <family val="2"/>
    </font>
    <font>
      <vertAlign val="superscript"/>
      <sz val="12"/>
      <name val="Arial"/>
      <family val="2"/>
    </font>
    <font>
      <u val="single"/>
      <sz val="12"/>
      <name val="Arial"/>
      <family val="2"/>
    </font>
    <font>
      <sz val="12"/>
      <color indexed="10"/>
      <name val="Arial"/>
      <family val="2"/>
    </font>
    <font>
      <sz val="10"/>
      <name val="Arial"/>
      <family val="2"/>
    </font>
    <font>
      <sz val="11"/>
      <name val="Arial"/>
      <family val="2"/>
    </font>
    <font>
      <vertAlign val="superscript"/>
      <sz val="11"/>
      <name val="Arial"/>
      <family val="2"/>
    </font>
    <font>
      <u val="single"/>
      <sz val="11"/>
      <name val="Arial"/>
      <family val="2"/>
    </font>
    <font>
      <u val="single"/>
      <sz val="12"/>
      <color indexed="12"/>
      <name val="Arial"/>
      <family val="2"/>
    </font>
    <font>
      <u val="single"/>
      <sz val="12"/>
      <color indexed="36"/>
      <name val="Arial"/>
      <family val="2"/>
    </font>
    <font>
      <vertAlign val="superscript"/>
      <sz val="10"/>
      <name val="Arial"/>
      <family val="2"/>
    </font>
    <font>
      <sz val="16"/>
      <name val="Arial"/>
      <family val="2"/>
    </font>
    <font>
      <sz val="14"/>
      <name val="Arial"/>
      <family val="2"/>
    </font>
    <font>
      <sz val="14"/>
      <color indexed="10"/>
      <name val="Arial"/>
      <family val="2"/>
    </font>
    <font>
      <sz val="14"/>
      <color indexed="50"/>
      <name val="Arial"/>
      <family val="2"/>
    </font>
    <font>
      <sz val="14"/>
      <color indexed="40"/>
      <name val="Arial"/>
      <family val="2"/>
    </font>
    <font>
      <sz val="8"/>
      <name val="Tahoma"/>
      <family val="2"/>
    </font>
    <font>
      <b/>
      <u val="single"/>
      <sz val="10"/>
      <name val="Arial"/>
      <family val="2"/>
    </font>
    <font>
      <b/>
      <i/>
      <u val="single"/>
      <sz val="10"/>
      <name val="Arial"/>
      <family val="2"/>
    </font>
    <font>
      <b/>
      <sz val="10"/>
      <color indexed="18"/>
      <name val="Arial"/>
      <family val="2"/>
    </font>
    <font>
      <sz val="8"/>
      <name val="Arial"/>
      <family val="2"/>
    </font>
    <font>
      <b/>
      <sz val="8"/>
      <name val="Tahoma"/>
      <family val="2"/>
    </font>
    <font>
      <b/>
      <sz val="18"/>
      <name val="Arial"/>
      <family val="2"/>
    </font>
    <font>
      <b/>
      <sz val="20"/>
      <color indexed="12"/>
      <name val="Arial"/>
      <family val="2"/>
    </font>
    <font>
      <b/>
      <sz val="16"/>
      <color indexed="12"/>
      <name val="Arial"/>
      <family val="2"/>
    </font>
    <font>
      <b/>
      <u val="single"/>
      <sz val="24"/>
      <name val="Arial"/>
      <family val="2"/>
    </font>
    <font>
      <sz val="1.5"/>
      <color indexed="8"/>
      <name val="Arial"/>
      <family val="2"/>
    </font>
    <font>
      <sz val="12"/>
      <color indexed="8"/>
      <name val="Arial"/>
      <family val="2"/>
    </font>
    <font>
      <sz val="10"/>
      <color indexed="8"/>
      <name val="Arial"/>
      <family val="2"/>
    </font>
    <font>
      <sz val="20.5"/>
      <color indexed="8"/>
      <name val="Arial"/>
      <family val="2"/>
    </font>
    <font>
      <sz val="9"/>
      <name val="Arial"/>
      <family val="2"/>
    </font>
    <font>
      <b/>
      <sz val="9"/>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14"/>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Verdana"/>
      <family val="2"/>
    </font>
    <font>
      <sz val="8"/>
      <name val="Segoe UI"/>
      <family val="2"/>
    </font>
    <font>
      <sz val="24"/>
      <color indexed="8"/>
      <name val="Arial"/>
      <family val="2"/>
    </font>
    <font>
      <sz val="16"/>
      <color indexed="8"/>
      <name val="Arial"/>
      <family val="2"/>
    </font>
    <font>
      <sz val="32"/>
      <color indexed="8"/>
      <name val="Arial"/>
      <family val="2"/>
    </font>
    <font>
      <b/>
      <sz val="1.5"/>
      <color indexed="8"/>
      <name val="Arial"/>
      <family val="2"/>
    </font>
    <font>
      <b/>
      <sz val="1.75"/>
      <color indexed="8"/>
      <name val="Arial"/>
      <family val="2"/>
    </font>
    <font>
      <vertAlign val="subscript"/>
      <sz val="12"/>
      <color indexed="8"/>
      <name val="Arial"/>
      <family val="2"/>
    </font>
    <font>
      <vertAlign val="subscript"/>
      <sz val="24"/>
      <color indexed="8"/>
      <name val="Arial"/>
      <family val="2"/>
    </font>
    <font>
      <b/>
      <sz val="12"/>
      <color indexed="8"/>
      <name val="Arial"/>
      <family val="2"/>
    </font>
    <font>
      <b/>
      <sz val="20.5"/>
      <color indexed="8"/>
      <name val="Arial"/>
      <family val="2"/>
    </font>
    <font>
      <b/>
      <sz val="24"/>
      <color indexed="8"/>
      <name val="Arial"/>
      <family val="2"/>
    </font>
    <font>
      <b/>
      <sz val="16"/>
      <color indexed="8"/>
      <name val="Calibri"/>
      <family val="2"/>
    </font>
    <font>
      <sz val="14"/>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2"/>
      <color rgb="FFFF0000"/>
      <name val="Arial"/>
      <family val="2"/>
    </font>
    <font>
      <sz val="10"/>
      <color rgb="FF000000"/>
      <name val="Verdana"/>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0"/>
        <bgColor indexed="64"/>
      </patternFill>
    </fill>
    <fill>
      <patternFill patternType="solid">
        <fgColor indexed="50"/>
        <bgColor indexed="64"/>
      </patternFill>
    </fill>
    <fill>
      <patternFill patternType="solid">
        <fgColor indexed="40"/>
        <bgColor indexed="64"/>
      </patternFill>
    </fill>
    <fill>
      <patternFill patternType="solid">
        <fgColor indexed="43"/>
        <bgColor indexed="64"/>
      </patternFill>
    </fill>
    <fill>
      <patternFill patternType="solid">
        <fgColor rgb="FFFF0000"/>
        <bgColor indexed="64"/>
      </patternFill>
    </fill>
    <fill>
      <patternFill patternType="solid">
        <fgColor theme="0"/>
        <bgColor indexed="64"/>
      </patternFill>
    </fill>
    <fill>
      <patternFill patternType="solid">
        <fgColor rgb="FF92D050"/>
        <bgColor indexed="64"/>
      </patternFill>
    </fill>
  </fills>
  <borders count="3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style="medium"/>
      <top style="thin"/>
      <bottom style="thin"/>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thick"/>
      <right style="thin"/>
      <top style="thin"/>
      <bottom style="thin"/>
    </border>
    <border>
      <left style="double"/>
      <right>
        <color indexed="63"/>
      </right>
      <top>
        <color indexed="63"/>
      </top>
      <bottom style="double"/>
    </border>
    <border>
      <left>
        <color indexed="63"/>
      </left>
      <right style="double"/>
      <top>
        <color indexed="63"/>
      </top>
      <bottom style="double"/>
    </border>
    <border>
      <left>
        <color indexed="63"/>
      </left>
      <right style="thick"/>
      <top>
        <color indexed="63"/>
      </top>
      <bottom style="thin"/>
    </border>
    <border>
      <left style="thick"/>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1" applyNumberFormat="0" applyAlignment="0" applyProtection="0"/>
    <xf numFmtId="0" fontId="68" fillId="26" borderId="2" applyNumberFormat="0" applyAlignment="0" applyProtection="0"/>
    <xf numFmtId="0" fontId="11" fillId="0" borderId="0" applyNumberFormat="0" applyFill="0" applyBorder="0" applyAlignment="0" applyProtection="0"/>
    <xf numFmtId="169" fontId="0" fillId="0" borderId="0" applyFont="0" applyFill="0" applyBorder="0" applyAlignment="0" applyProtection="0"/>
    <xf numFmtId="0" fontId="69" fillId="27" borderId="2" applyNumberFormat="0" applyAlignment="0" applyProtection="0"/>
    <xf numFmtId="0" fontId="70" fillId="0" borderId="3" applyNumberFormat="0" applyFill="0" applyAlignment="0" applyProtection="0"/>
    <xf numFmtId="0" fontId="71" fillId="0" borderId="0" applyNumberFormat="0" applyFill="0" applyBorder="0" applyAlignment="0" applyProtection="0"/>
    <xf numFmtId="0" fontId="72" fillId="28" borderId="0" applyNumberFormat="0" applyBorder="0" applyAlignment="0" applyProtection="0"/>
    <xf numFmtId="171" fontId="0" fillId="0" borderId="0" applyFont="0" applyFill="0" applyBorder="0" applyAlignment="0" applyProtection="0"/>
    <xf numFmtId="0" fontId="10" fillId="0" borderId="0" applyNumberFormat="0" applyFill="0" applyBorder="0" applyAlignment="0" applyProtection="0"/>
    <xf numFmtId="0" fontId="7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4" fillId="31" borderId="0" applyNumberFormat="0" applyBorder="0" applyAlignment="0" applyProtection="0"/>
    <xf numFmtId="0" fontId="75" fillId="0" borderId="0" applyNumberForma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0" borderId="0" applyNumberFormat="0" applyFill="0" applyBorder="0" applyAlignment="0" applyProtection="0"/>
    <xf numFmtId="0" fontId="81" fillId="32" borderId="9" applyNumberFormat="0" applyAlignment="0" applyProtection="0"/>
  </cellStyleXfs>
  <cellXfs count="163">
    <xf numFmtId="0" fontId="0" fillId="0" borderId="0" xfId="0" applyAlignment="1">
      <alignment/>
    </xf>
    <xf numFmtId="0" fontId="0" fillId="0" borderId="0" xfId="0" applyAlignment="1" quotePrefix="1">
      <alignment/>
    </xf>
    <xf numFmtId="0" fontId="0" fillId="0" borderId="0" xfId="0" applyAlignment="1">
      <alignment wrapText="1" shrinkToFit="1"/>
    </xf>
    <xf numFmtId="0" fontId="0" fillId="0" borderId="0" xfId="0" applyAlignment="1">
      <alignment/>
    </xf>
    <xf numFmtId="0" fontId="2" fillId="0" borderId="0" xfId="0" applyFont="1" applyAlignment="1">
      <alignment/>
    </xf>
    <xf numFmtId="0" fontId="0" fillId="0" borderId="0" xfId="0" applyAlignment="1">
      <alignment horizontal="right" vertical="center"/>
    </xf>
    <xf numFmtId="172" fontId="0" fillId="33" borderId="10" xfId="0" applyNumberFormat="1" applyFill="1" applyBorder="1" applyAlignment="1">
      <alignment/>
    </xf>
    <xf numFmtId="0" fontId="0" fillId="33" borderId="10" xfId="0" applyFill="1" applyBorder="1" applyAlignment="1">
      <alignment/>
    </xf>
    <xf numFmtId="0" fontId="0" fillId="33" borderId="0" xfId="0" applyFill="1" applyAlignment="1">
      <alignment/>
    </xf>
    <xf numFmtId="0" fontId="0" fillId="0" borderId="0" xfId="0" applyFill="1" applyAlignment="1">
      <alignment/>
    </xf>
    <xf numFmtId="0" fontId="0" fillId="0" borderId="0" xfId="0" applyAlignment="1">
      <alignment wrapText="1"/>
    </xf>
    <xf numFmtId="0" fontId="0" fillId="0" borderId="0" xfId="0" applyAlignment="1">
      <alignment vertical="top" wrapText="1"/>
    </xf>
    <xf numFmtId="0" fontId="0" fillId="0" borderId="10" xfId="0" applyBorder="1" applyAlignment="1">
      <alignment vertical="top" wrapText="1"/>
    </xf>
    <xf numFmtId="0" fontId="0" fillId="0" borderId="10" xfId="0" applyBorder="1" applyAlignment="1">
      <alignment/>
    </xf>
    <xf numFmtId="1" fontId="0" fillId="0" borderId="10" xfId="0" applyNumberFormat="1" applyFill="1" applyBorder="1" applyAlignment="1">
      <alignment/>
    </xf>
    <xf numFmtId="0" fontId="0" fillId="33" borderId="10" xfId="0" applyFill="1" applyBorder="1" applyAlignment="1">
      <alignment/>
    </xf>
    <xf numFmtId="0" fontId="5" fillId="0" borderId="10" xfId="0" applyFont="1" applyBorder="1" applyAlignment="1">
      <alignment/>
    </xf>
    <xf numFmtId="1" fontId="0" fillId="33" borderId="10" xfId="0" applyNumberFormat="1" applyFill="1" applyBorder="1" applyAlignment="1">
      <alignment/>
    </xf>
    <xf numFmtId="0" fontId="0" fillId="0" borderId="10" xfId="0" applyFont="1" applyBorder="1" applyAlignment="1">
      <alignment/>
    </xf>
    <xf numFmtId="0" fontId="7" fillId="0" borderId="11" xfId="0" applyFont="1" applyBorder="1" applyAlignment="1">
      <alignment/>
    </xf>
    <xf numFmtId="0" fontId="7" fillId="0" borderId="12" xfId="0" applyFont="1" applyBorder="1" applyAlignment="1">
      <alignment horizontal="center"/>
    </xf>
    <xf numFmtId="172" fontId="7" fillId="0" borderId="13" xfId="0" applyNumberFormat="1" applyFont="1" applyBorder="1" applyAlignment="1">
      <alignment horizontal="center"/>
    </xf>
    <xf numFmtId="0" fontId="7" fillId="0" borderId="13" xfId="0" applyFont="1" applyBorder="1" applyAlignment="1">
      <alignment horizontal="center"/>
    </xf>
    <xf numFmtId="0" fontId="7" fillId="0" borderId="14" xfId="0" applyFont="1" applyBorder="1" applyAlignment="1">
      <alignment vertical="top" wrapText="1"/>
    </xf>
    <xf numFmtId="0" fontId="7" fillId="0" borderId="1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xf>
    <xf numFmtId="0" fontId="7" fillId="0" borderId="18" xfId="0" applyFont="1" applyBorder="1" applyAlignment="1">
      <alignment horizontal="center"/>
    </xf>
    <xf numFmtId="172" fontId="7" fillId="0" borderId="0" xfId="0" applyNumberFormat="1" applyFont="1" applyBorder="1" applyAlignment="1">
      <alignment horizontal="center"/>
    </xf>
    <xf numFmtId="0" fontId="7" fillId="0" borderId="0" xfId="0" applyFont="1" applyBorder="1" applyAlignment="1">
      <alignment horizontal="center"/>
    </xf>
    <xf numFmtId="0" fontId="7" fillId="0" borderId="0" xfId="0" applyFont="1" applyBorder="1" applyAlignment="1">
      <alignment horizontal="center" vertical="center"/>
    </xf>
    <xf numFmtId="0" fontId="7" fillId="0" borderId="19" xfId="0" applyFont="1" applyBorder="1" applyAlignment="1">
      <alignment horizontal="center" vertical="center"/>
    </xf>
    <xf numFmtId="0" fontId="7" fillId="0" borderId="17" xfId="0" applyFont="1" applyBorder="1" applyAlignment="1" applyProtection="1">
      <alignment/>
      <protection hidden="1" locked="0"/>
    </xf>
    <xf numFmtId="0" fontId="7" fillId="0" borderId="20" xfId="0" applyFont="1" applyBorder="1" applyAlignment="1">
      <alignment horizontal="center"/>
    </xf>
    <xf numFmtId="0" fontId="7" fillId="0" borderId="17" xfId="0" applyFont="1" applyBorder="1" applyAlignment="1" applyProtection="1">
      <alignment/>
      <protection hidden="1"/>
    </xf>
    <xf numFmtId="0" fontId="7" fillId="0" borderId="21" xfId="0" applyFont="1" applyBorder="1" applyAlignment="1">
      <alignment/>
    </xf>
    <xf numFmtId="172" fontId="7" fillId="0" borderId="22" xfId="0" applyNumberFormat="1" applyFont="1" applyBorder="1" applyAlignment="1">
      <alignment horizontal="center"/>
    </xf>
    <xf numFmtId="0" fontId="7" fillId="0" borderId="22" xfId="0" applyFont="1" applyBorder="1" applyAlignment="1">
      <alignment horizont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13" xfId="0" applyFont="1" applyBorder="1" applyAlignment="1">
      <alignment horizontal="center" vertical="center"/>
    </xf>
    <xf numFmtId="0" fontId="7" fillId="0" borderId="24" xfId="0" applyFont="1" applyBorder="1" applyAlignment="1">
      <alignment horizontal="center" vertical="center"/>
    </xf>
    <xf numFmtId="0" fontId="9" fillId="0" borderId="18" xfId="0" applyFont="1" applyBorder="1" applyAlignment="1">
      <alignment/>
    </xf>
    <xf numFmtId="0" fontId="7" fillId="0" borderId="17" xfId="0" applyFont="1" applyFill="1" applyBorder="1" applyAlignment="1">
      <alignment/>
    </xf>
    <xf numFmtId="0" fontId="7" fillId="0" borderId="20" xfId="0" applyFont="1" applyBorder="1" applyAlignment="1">
      <alignment/>
    </xf>
    <xf numFmtId="172" fontId="7" fillId="0" borderId="0" xfId="0" applyNumberFormat="1" applyFont="1" applyBorder="1" applyAlignment="1">
      <alignment horizontal="center" vertical="center"/>
    </xf>
    <xf numFmtId="0" fontId="7" fillId="0" borderId="0" xfId="0" applyFont="1" applyAlignment="1">
      <alignment horizontal="center" vertical="center"/>
    </xf>
    <xf numFmtId="0" fontId="7" fillId="0" borderId="12" xfId="0" applyFont="1" applyBorder="1" applyAlignment="1">
      <alignment/>
    </xf>
    <xf numFmtId="172" fontId="7" fillId="0" borderId="13" xfId="0" applyNumberFormat="1" applyFont="1" applyBorder="1" applyAlignment="1">
      <alignment horizontal="center" vertical="center"/>
    </xf>
    <xf numFmtId="0" fontId="0" fillId="0" borderId="14" xfId="0" applyBorder="1" applyAlignment="1">
      <alignment vertical="top" wrapText="1"/>
    </xf>
    <xf numFmtId="0" fontId="0" fillId="0" borderId="25" xfId="0" applyBorder="1" applyAlignment="1">
      <alignment vertical="top" wrapText="1"/>
    </xf>
    <xf numFmtId="1" fontId="0" fillId="0" borderId="25" xfId="0" applyNumberFormat="1" applyBorder="1" applyAlignment="1">
      <alignment/>
    </xf>
    <xf numFmtId="0" fontId="0" fillId="0" borderId="14" xfId="0" applyFill="1" applyBorder="1" applyAlignment="1">
      <alignment/>
    </xf>
    <xf numFmtId="0" fontId="0" fillId="0" borderId="25" xfId="0" applyBorder="1" applyAlignment="1">
      <alignment/>
    </xf>
    <xf numFmtId="0" fontId="0" fillId="33" borderId="0" xfId="0" applyFill="1" applyAlignment="1">
      <alignment horizontal="left" vertical="top"/>
    </xf>
    <xf numFmtId="0" fontId="0" fillId="34" borderId="0" xfId="0" applyFill="1" applyAlignment="1">
      <alignment/>
    </xf>
    <xf numFmtId="172" fontId="0" fillId="34" borderId="0" xfId="0" applyNumberFormat="1" applyFill="1" applyAlignment="1">
      <alignment/>
    </xf>
    <xf numFmtId="1" fontId="0" fillId="34" borderId="10" xfId="0" applyNumberFormat="1" applyFill="1" applyBorder="1" applyAlignment="1">
      <alignment/>
    </xf>
    <xf numFmtId="0" fontId="0" fillId="34" borderId="10" xfId="0" applyFill="1" applyBorder="1" applyAlignment="1">
      <alignment/>
    </xf>
    <xf numFmtId="172" fontId="0" fillId="34" borderId="10" xfId="0" applyNumberFormat="1" applyFill="1" applyBorder="1" applyAlignment="1">
      <alignment/>
    </xf>
    <xf numFmtId="2" fontId="0" fillId="34" borderId="10" xfId="0" applyNumberFormat="1" applyFill="1" applyBorder="1" applyAlignment="1">
      <alignment/>
    </xf>
    <xf numFmtId="0" fontId="0" fillId="0" borderId="0" xfId="0" applyAlignment="1" applyProtection="1">
      <alignment/>
      <protection hidden="1"/>
    </xf>
    <xf numFmtId="0" fontId="6" fillId="0" borderId="0" xfId="0" applyFont="1" applyAlignment="1" applyProtection="1">
      <alignment/>
      <protection hidden="1"/>
    </xf>
    <xf numFmtId="0" fontId="0" fillId="0" borderId="0" xfId="0" applyAlignment="1">
      <alignment horizontal="left" vertical="top"/>
    </xf>
    <xf numFmtId="0" fontId="13" fillId="0" borderId="0" xfId="0" applyFont="1" applyAlignment="1">
      <alignment horizontal="right" vertical="center"/>
    </xf>
    <xf numFmtId="0" fontId="0" fillId="0" borderId="0" xfId="0" applyAlignment="1">
      <alignment vertical="top" wrapText="1" shrinkToFit="1"/>
    </xf>
    <xf numFmtId="0" fontId="0" fillId="0" borderId="0" xfId="0" applyAlignment="1">
      <alignment vertical="top"/>
    </xf>
    <xf numFmtId="0" fontId="0" fillId="0" borderId="17" xfId="0" applyBorder="1" applyAlignment="1">
      <alignment/>
    </xf>
    <xf numFmtId="0" fontId="0" fillId="0" borderId="0" xfId="0" applyBorder="1" applyAlignment="1">
      <alignment/>
    </xf>
    <xf numFmtId="0" fontId="0" fillId="0" borderId="19" xfId="0" applyBorder="1" applyAlignment="1">
      <alignment/>
    </xf>
    <xf numFmtId="0" fontId="6" fillId="0" borderId="17" xfId="0" applyFont="1" applyBorder="1" applyAlignment="1" applyProtection="1">
      <alignment/>
      <protection hidden="1"/>
    </xf>
    <xf numFmtId="0" fontId="6" fillId="0" borderId="11" xfId="0" applyFont="1" applyBorder="1" applyAlignment="1" applyProtection="1">
      <alignment/>
      <protection hidden="1"/>
    </xf>
    <xf numFmtId="0" fontId="0" fillId="0" borderId="13" xfId="0" applyBorder="1" applyAlignment="1">
      <alignment/>
    </xf>
    <xf numFmtId="0" fontId="0" fillId="0" borderId="24" xfId="0" applyBorder="1" applyAlignment="1">
      <alignment/>
    </xf>
    <xf numFmtId="0" fontId="0" fillId="0" borderId="0" xfId="0" applyFill="1" applyBorder="1" applyAlignment="1">
      <alignment wrapText="1" shrinkToFit="1"/>
    </xf>
    <xf numFmtId="172" fontId="0" fillId="0" borderId="0" xfId="0" applyNumberFormat="1" applyFill="1" applyBorder="1" applyAlignment="1">
      <alignment/>
    </xf>
    <xf numFmtId="0" fontId="0" fillId="0" borderId="0" xfId="0" applyFill="1" applyBorder="1" applyAlignment="1">
      <alignment/>
    </xf>
    <xf numFmtId="1" fontId="0" fillId="35" borderId="10" xfId="0" applyNumberFormat="1" applyFill="1" applyBorder="1" applyAlignment="1">
      <alignment/>
    </xf>
    <xf numFmtId="2" fontId="0" fillId="35" borderId="10" xfId="0" applyNumberFormat="1" applyFill="1" applyBorder="1" applyAlignment="1">
      <alignment/>
    </xf>
    <xf numFmtId="0" fontId="7" fillId="0" borderId="0" xfId="0" applyFont="1" applyFill="1" applyBorder="1" applyAlignment="1">
      <alignment horizontal="center"/>
    </xf>
    <xf numFmtId="0" fontId="19" fillId="0" borderId="21" xfId="0" applyFont="1" applyBorder="1" applyAlignment="1">
      <alignment/>
    </xf>
    <xf numFmtId="0" fontId="0" fillId="0" borderId="23" xfId="0" applyBorder="1" applyAlignment="1">
      <alignment/>
    </xf>
    <xf numFmtId="0" fontId="0" fillId="0" borderId="17" xfId="0" applyBorder="1" applyAlignment="1">
      <alignment horizontal="right"/>
    </xf>
    <xf numFmtId="0" fontId="21" fillId="0" borderId="11" xfId="0" applyFont="1" applyBorder="1" applyAlignment="1">
      <alignment horizontal="right"/>
    </xf>
    <xf numFmtId="0" fontId="0" fillId="0" borderId="0" xfId="0" applyAlignment="1">
      <alignment horizontal="right"/>
    </xf>
    <xf numFmtId="0" fontId="9" fillId="0" borderId="17" xfId="0" applyFont="1" applyBorder="1" applyAlignment="1" applyProtection="1">
      <alignment horizontal="center"/>
      <protection hidden="1" locked="0"/>
    </xf>
    <xf numFmtId="0" fontId="0" fillId="0" borderId="18" xfId="0" applyFill="1" applyBorder="1" applyAlignment="1">
      <alignment vertical="top" wrapText="1"/>
    </xf>
    <xf numFmtId="172" fontId="0" fillId="35" borderId="10" xfId="0" applyNumberFormat="1" applyFont="1" applyFill="1" applyBorder="1" applyAlignment="1">
      <alignment/>
    </xf>
    <xf numFmtId="0" fontId="0" fillId="0" borderId="22" xfId="0" applyBorder="1" applyAlignment="1">
      <alignment/>
    </xf>
    <xf numFmtId="0" fontId="0" fillId="0" borderId="11" xfId="0" applyBorder="1" applyAlignment="1">
      <alignment/>
    </xf>
    <xf numFmtId="0" fontId="14" fillId="36" borderId="26" xfId="0" applyFont="1" applyFill="1" applyBorder="1" applyAlignment="1">
      <alignment horizontal="center" vertical="center" wrapText="1" shrinkToFit="1"/>
    </xf>
    <xf numFmtId="0" fontId="0" fillId="36" borderId="27" xfId="0" applyFill="1" applyBorder="1" applyAlignment="1">
      <alignment/>
    </xf>
    <xf numFmtId="0" fontId="14" fillId="36" borderId="28" xfId="0" applyFont="1" applyFill="1" applyBorder="1" applyAlignment="1">
      <alignment horizontal="center" vertical="center" wrapText="1" shrinkToFit="1"/>
    </xf>
    <xf numFmtId="0" fontId="0" fillId="36" borderId="29" xfId="0" applyFill="1" applyBorder="1" applyAlignment="1">
      <alignment/>
    </xf>
    <xf numFmtId="172" fontId="0" fillId="0" borderId="0" xfId="0" applyNumberFormat="1" applyAlignment="1">
      <alignment/>
    </xf>
    <xf numFmtId="1" fontId="0" fillId="0" borderId="0" xfId="0" applyNumberFormat="1" applyAlignment="1">
      <alignment/>
    </xf>
    <xf numFmtId="0" fontId="0" fillId="33" borderId="19" xfId="0" applyFill="1" applyBorder="1" applyAlignment="1">
      <alignment/>
    </xf>
    <xf numFmtId="2" fontId="21" fillId="34" borderId="24" xfId="0" applyNumberFormat="1" applyFont="1" applyFill="1" applyBorder="1" applyAlignment="1">
      <alignment/>
    </xf>
    <xf numFmtId="172" fontId="0" fillId="34" borderId="25" xfId="0" applyNumberFormat="1" applyFill="1" applyBorder="1" applyAlignment="1">
      <alignment/>
    </xf>
    <xf numFmtId="0" fontId="0" fillId="0" borderId="21" xfId="0" applyBorder="1" applyAlignment="1">
      <alignment/>
    </xf>
    <xf numFmtId="0" fontId="6" fillId="0" borderId="19" xfId="0" applyFont="1" applyBorder="1" applyAlignment="1" applyProtection="1">
      <alignment horizontal="left"/>
      <protection hidden="1"/>
    </xf>
    <xf numFmtId="0" fontId="6" fillId="0" borderId="24" xfId="0" applyFont="1" applyBorder="1" applyAlignment="1" applyProtection="1">
      <alignment horizontal="left"/>
      <protection hidden="1"/>
    </xf>
    <xf numFmtId="0" fontId="6" fillId="0" borderId="19" xfId="0" applyFont="1" applyBorder="1" applyAlignment="1" applyProtection="1">
      <alignment horizontal="center"/>
      <protection hidden="1"/>
    </xf>
    <xf numFmtId="0" fontId="6" fillId="0" borderId="19" xfId="0" applyFont="1" applyBorder="1" applyAlignment="1" applyProtection="1">
      <alignment/>
      <protection hidden="1"/>
    </xf>
    <xf numFmtId="0" fontId="0" fillId="0" borderId="0" xfId="0" applyAlignment="1">
      <alignment horizontal="left" vertical="top" wrapText="1"/>
    </xf>
    <xf numFmtId="0" fontId="24" fillId="0" borderId="0" xfId="0" applyFont="1" applyAlignment="1">
      <alignment/>
    </xf>
    <xf numFmtId="0" fontId="14" fillId="0" borderId="0" xfId="0" applyFont="1" applyAlignment="1">
      <alignment horizontal="left" vertical="top" wrapText="1"/>
    </xf>
    <xf numFmtId="0" fontId="25" fillId="0" borderId="0" xfId="0" applyFont="1" applyAlignment="1">
      <alignment/>
    </xf>
    <xf numFmtId="0" fontId="0" fillId="0" borderId="10" xfId="0" applyFill="1" applyBorder="1" applyAlignment="1">
      <alignment vertical="top" wrapText="1"/>
    </xf>
    <xf numFmtId="0" fontId="26" fillId="0" borderId="0" xfId="0" applyFont="1" applyAlignment="1">
      <alignment/>
    </xf>
    <xf numFmtId="0" fontId="0" fillId="37" borderId="0" xfId="0" applyFill="1" applyAlignment="1">
      <alignment/>
    </xf>
    <xf numFmtId="0" fontId="0" fillId="0" borderId="0" xfId="0" applyFont="1" applyAlignment="1">
      <alignment/>
    </xf>
    <xf numFmtId="0" fontId="0" fillId="38" borderId="0" xfId="0" applyFill="1" applyAlignment="1">
      <alignment/>
    </xf>
    <xf numFmtId="172" fontId="0" fillId="22" borderId="0" xfId="0" applyNumberFormat="1" applyFill="1" applyAlignment="1">
      <alignment/>
    </xf>
    <xf numFmtId="172" fontId="0" fillId="38" borderId="0" xfId="0" applyNumberFormat="1" applyFill="1" applyAlignment="1">
      <alignment/>
    </xf>
    <xf numFmtId="172" fontId="0" fillId="37" borderId="0" xfId="0" applyNumberFormat="1" applyFill="1" applyAlignment="1">
      <alignment/>
    </xf>
    <xf numFmtId="0" fontId="27" fillId="0" borderId="0" xfId="0" applyFont="1" applyAlignment="1">
      <alignment/>
    </xf>
    <xf numFmtId="172" fontId="0" fillId="39" borderId="0" xfId="0" applyNumberFormat="1" applyFill="1" applyAlignment="1">
      <alignment/>
    </xf>
    <xf numFmtId="0" fontId="0" fillId="39" borderId="0" xfId="0" applyFill="1" applyAlignment="1">
      <alignment/>
    </xf>
    <xf numFmtId="0" fontId="0" fillId="0" borderId="0" xfId="0" applyFill="1" applyBorder="1" applyAlignment="1">
      <alignment horizontal="left" vertical="top" wrapText="1" shrinkToFit="1"/>
    </xf>
    <xf numFmtId="2" fontId="0" fillId="34" borderId="10" xfId="0" applyNumberFormat="1" applyFill="1" applyBorder="1" applyAlignment="1">
      <alignment horizontal="center" vertical="center"/>
    </xf>
    <xf numFmtId="0" fontId="7" fillId="0" borderId="0" xfId="0" applyFont="1" applyFill="1" applyBorder="1" applyAlignment="1">
      <alignment horizontal="left" vertical="top" wrapText="1" shrinkToFit="1"/>
    </xf>
    <xf numFmtId="0" fontId="0" fillId="0" borderId="23" xfId="0" applyBorder="1" applyAlignment="1">
      <alignment horizontal="left" vertical="center" wrapText="1"/>
    </xf>
    <xf numFmtId="172" fontId="0" fillId="34" borderId="0" xfId="0" applyNumberFormat="1" applyFill="1" applyBorder="1" applyAlignment="1">
      <alignment/>
    </xf>
    <xf numFmtId="0" fontId="0" fillId="0" borderId="14" xfId="0" applyFill="1" applyBorder="1" applyAlignment="1">
      <alignment vertical="top" wrapText="1"/>
    </xf>
    <xf numFmtId="0" fontId="0" fillId="0" borderId="14" xfId="0" applyBorder="1" applyAlignment="1">
      <alignment horizontal="center" vertical="top" wrapText="1"/>
    </xf>
    <xf numFmtId="1" fontId="0" fillId="34" borderId="14" xfId="0" applyNumberFormat="1" applyFill="1" applyBorder="1" applyAlignment="1">
      <alignment/>
    </xf>
    <xf numFmtId="0" fontId="0" fillId="0" borderId="30" xfId="0" applyFill="1" applyBorder="1" applyAlignment="1">
      <alignment vertical="top" wrapText="1"/>
    </xf>
    <xf numFmtId="0" fontId="0" fillId="0" borderId="30" xfId="0" applyBorder="1" applyAlignment="1">
      <alignment vertical="top" wrapText="1"/>
    </xf>
    <xf numFmtId="2" fontId="0" fillId="34" borderId="30" xfId="0" applyNumberFormat="1" applyFill="1" applyBorder="1" applyAlignment="1">
      <alignment horizontal="center" vertical="center"/>
    </xf>
    <xf numFmtId="0" fontId="0" fillId="0" borderId="0" xfId="0" applyBorder="1" applyAlignment="1">
      <alignment horizontal="center" vertical="center" shrinkToFit="1"/>
    </xf>
    <xf numFmtId="0" fontId="0" fillId="0" borderId="0" xfId="0" applyBorder="1" applyAlignment="1">
      <alignment shrinkToFit="1"/>
    </xf>
    <xf numFmtId="0" fontId="0" fillId="0" borderId="0" xfId="0" applyAlignment="1">
      <alignment wrapText="1"/>
    </xf>
    <xf numFmtId="0" fontId="0" fillId="0" borderId="0" xfId="0" applyAlignment="1">
      <alignment wrapText="1" shrinkToFit="1"/>
    </xf>
    <xf numFmtId="0" fontId="0" fillId="0" borderId="0" xfId="0" applyAlignment="1">
      <alignment/>
    </xf>
    <xf numFmtId="0" fontId="0" fillId="0" borderId="0" xfId="0" applyAlignment="1">
      <alignment horizontal="left" vertical="top" wrapText="1"/>
    </xf>
    <xf numFmtId="0" fontId="0" fillId="0" borderId="21" xfId="0" applyBorder="1" applyAlignment="1">
      <alignment wrapText="1"/>
    </xf>
    <xf numFmtId="0" fontId="0" fillId="0" borderId="22" xfId="0" applyBorder="1" applyAlignment="1">
      <alignment wrapText="1"/>
    </xf>
    <xf numFmtId="0" fontId="0" fillId="0" borderId="17" xfId="0" applyBorder="1" applyAlignment="1">
      <alignment wrapText="1"/>
    </xf>
    <xf numFmtId="0" fontId="0" fillId="0" borderId="0" xfId="0" applyBorder="1" applyAlignment="1">
      <alignment wrapText="1"/>
    </xf>
    <xf numFmtId="0" fontId="0" fillId="0" borderId="11" xfId="0" applyBorder="1" applyAlignment="1">
      <alignment wrapText="1"/>
    </xf>
    <xf numFmtId="0" fontId="0" fillId="0" borderId="13" xfId="0" applyBorder="1" applyAlignment="1">
      <alignment wrapText="1"/>
    </xf>
    <xf numFmtId="0" fontId="4" fillId="0" borderId="0" xfId="0" applyFont="1" applyAlignment="1">
      <alignment horizontal="center" vertical="center" wrapText="1" shrinkToFit="1"/>
    </xf>
    <xf numFmtId="0" fontId="0" fillId="0" borderId="0" xfId="0" applyAlignment="1">
      <alignment horizontal="center" vertical="center"/>
    </xf>
    <xf numFmtId="0" fontId="14" fillId="36" borderId="31" xfId="0" applyFont="1" applyFill="1" applyBorder="1" applyAlignment="1">
      <alignment horizontal="left" vertical="top" wrapText="1" shrinkToFit="1"/>
    </xf>
    <xf numFmtId="0" fontId="0" fillId="36" borderId="32" xfId="0" applyFill="1" applyBorder="1" applyAlignment="1">
      <alignment/>
    </xf>
    <xf numFmtId="0" fontId="82" fillId="0" borderId="0" xfId="0" applyFont="1" applyFill="1" applyBorder="1" applyAlignment="1">
      <alignment horizontal="left" vertical="top" wrapText="1" shrinkToFit="1"/>
    </xf>
    <xf numFmtId="0" fontId="0" fillId="8" borderId="13" xfId="0" applyFill="1" applyBorder="1" applyAlignment="1">
      <alignment horizontal="center" vertical="center" shrinkToFit="1"/>
    </xf>
    <xf numFmtId="0" fontId="0" fillId="0" borderId="13" xfId="0" applyBorder="1" applyAlignment="1">
      <alignment shrinkToFit="1"/>
    </xf>
    <xf numFmtId="0" fontId="0" fillId="0" borderId="33" xfId="0" applyBorder="1" applyAlignment="1">
      <alignment shrinkToFit="1"/>
    </xf>
    <xf numFmtId="0" fontId="0" fillId="13" borderId="34" xfId="0" applyFill="1" applyBorder="1" applyAlignment="1">
      <alignment horizontal="center" vertical="center" shrinkToFit="1"/>
    </xf>
    <xf numFmtId="0" fontId="0" fillId="0" borderId="0" xfId="0" applyAlignment="1">
      <alignment vertical="top" wrapText="1"/>
    </xf>
    <xf numFmtId="0" fontId="0" fillId="0" borderId="0" xfId="0" applyAlignment="1">
      <alignment horizontal="left" vertical="top" wrapText="1" shrinkToFit="1"/>
    </xf>
    <xf numFmtId="0" fontId="6" fillId="0" borderId="0" xfId="0" applyFont="1" applyAlignment="1">
      <alignment wrapText="1"/>
    </xf>
    <xf numFmtId="0" fontId="0" fillId="0" borderId="0" xfId="0" applyAlignment="1">
      <alignment/>
    </xf>
    <xf numFmtId="0" fontId="0" fillId="0" borderId="0" xfId="0" applyAlignment="1">
      <alignment horizontal="center"/>
    </xf>
    <xf numFmtId="0" fontId="83" fillId="0" borderId="0" xfId="0" applyFont="1" applyAlignment="1">
      <alignment horizontal="center" wrapText="1"/>
    </xf>
    <xf numFmtId="0" fontId="0" fillId="0" borderId="14" xfId="0" applyBorder="1" applyAlignment="1">
      <alignment horizontal="center" vertical="center" wrapText="1" shrinkToFi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25" xfId="0" applyBorder="1" applyAlignment="1">
      <alignment horizontal="center" vertical="center" wrapText="1" shrinkToFi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chartsheet" Target="chartsheets/sheet3.xml" /><Relationship Id="rId6" Type="http://schemas.openxmlformats.org/officeDocument/2006/relationships/worksheet" Target="worksheets/sheet3.xml" /><Relationship Id="rId7" Type="http://schemas.openxmlformats.org/officeDocument/2006/relationships/worksheet" Target="worksheets/sheet4.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Biegemomentenverlauf</a:t>
            </a:r>
          </a:p>
        </c:rich>
      </c:tx>
      <c:layout/>
      <c:spPr>
        <a:noFill/>
        <a:ln>
          <a:noFill/>
        </a:ln>
      </c:spPr>
    </c:title>
    <c:plotArea>
      <c:layout/>
      <c:scatterChart>
        <c:scatterStyle val="smoothMarker"/>
        <c:varyColors val="0"/>
        <c:ser>
          <c:idx val="0"/>
          <c:order val="0"/>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dLbls>
            <c:numFmt formatCode="General" sourceLinked="1"/>
            <c:showLegendKey val="0"/>
            <c:showVal val="1"/>
            <c:showBubbleSize val="0"/>
            <c:showCatName val="0"/>
            <c:showSerName val="0"/>
            <c:showPercent val="0"/>
          </c:dLbls>
          <c:xVal>
            <c:strRef>
              <c:f>'Berechnung der Werte'!#REF!</c:f>
              <c:strCache>
                <c:ptCount val="1"/>
                <c:pt idx="0">
                  <c:v>1</c:v>
                </c:pt>
              </c:strCache>
            </c:strRef>
          </c:xVal>
          <c:yVal>
            <c:numRef>
              <c:f>'Berechnung der Werte'!$E$110:$E$117</c:f>
              <c:numCache/>
            </c:numRef>
          </c:yVal>
          <c:smooth val="1"/>
        </c:ser>
        <c:axId val="21816648"/>
        <c:axId val="62132105"/>
      </c:scatterChart>
      <c:valAx>
        <c:axId val="21816648"/>
        <c:scaling>
          <c:orientation val="minMax"/>
        </c:scaling>
        <c:axPos val="b"/>
        <c:delete val="0"/>
        <c:numFmt formatCode="General" sourceLinked="1"/>
        <c:majorTickMark val="out"/>
        <c:minorTickMark val="none"/>
        <c:tickLblPos val="nextTo"/>
        <c:spPr>
          <a:ln w="3175">
            <a:solidFill>
              <a:srgbClr val="000000"/>
            </a:solidFill>
          </a:ln>
        </c:spPr>
        <c:crossAx val="62132105"/>
        <c:crosses val="autoZero"/>
        <c:crossBetween val="midCat"/>
        <c:dispUnits/>
      </c:valAx>
      <c:valAx>
        <c:axId val="62132105"/>
        <c:scaling>
          <c:orientation val="minMax"/>
        </c:scaling>
        <c:axPos val="l"/>
        <c:title>
          <c:tx>
            <c:rich>
              <a:bodyPr vert="horz" rot="-5400000" anchor="ctr"/>
              <a:lstStyle/>
              <a:p>
                <a:pPr algn="ctr">
                  <a:defRPr/>
                </a:pPr>
                <a:r>
                  <a:rPr lang="en-US" cap="none" sz="150" b="1" i="0" u="none" baseline="0">
                    <a:solidFill>
                      <a:srgbClr val="000000"/>
                    </a:solidFill>
                    <a:latin typeface="Arial"/>
                    <a:ea typeface="Arial"/>
                    <a:cs typeface="Arial"/>
                  </a:rPr>
                  <a:t>Mb(x)</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1816648"/>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0165"/>
          <c:w val="0.943"/>
          <c:h val="0.916"/>
        </c:manualLayout>
      </c:layout>
      <c:scatterChart>
        <c:scatterStyle val="smoothMarker"/>
        <c:varyColors val="0"/>
        <c:ser>
          <c:idx val="0"/>
          <c:order val="0"/>
          <c:spPr>
            <a:ln w="381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DD0806"/>
              </a:solidFill>
              <a:ln>
                <a:solidFill>
                  <a:srgbClr val="DD0806"/>
                </a:solidFill>
              </a:ln>
            </c:spPr>
          </c:marker>
          <c:xVal>
            <c:numRef>
              <c:f>'Berechnung der Werte'!$C$110:$C$121</c:f>
              <c:numCache>
                <c:ptCount val="12"/>
                <c:pt idx="0">
                  <c:v>0</c:v>
                </c:pt>
                <c:pt idx="1">
                  <c:v>125</c:v>
                </c:pt>
                <c:pt idx="2">
                  <c:v>500</c:v>
                </c:pt>
                <c:pt idx="3">
                  <c:v>625</c:v>
                </c:pt>
                <c:pt idx="4">
                  <c:v>1000</c:v>
                </c:pt>
                <c:pt idx="5">
                  <c:v>1125</c:v>
                </c:pt>
                <c:pt idx="6">
                  <c:v>1230</c:v>
                </c:pt>
                <c:pt idx="7">
                  <c:v>1355</c:v>
                </c:pt>
                <c:pt idx="8">
                  <c:v>1855</c:v>
                </c:pt>
                <c:pt idx="9">
                  <c:v>2255</c:v>
                </c:pt>
                <c:pt idx="10">
                  <c:v>2285</c:v>
                </c:pt>
                <c:pt idx="11">
                  <c:v>2557.5</c:v>
                </c:pt>
              </c:numCache>
            </c:numRef>
          </c:xVal>
          <c:yVal>
            <c:numRef>
              <c:f>'Berechnung der Werte'!$L$110:$L$121</c:f>
              <c:numCache>
                <c:ptCount val="12"/>
                <c:pt idx="0">
                  <c:v>40.231482736029456</c:v>
                </c:pt>
                <c:pt idx="1">
                  <c:v>36.23983835236935</c:v>
                </c:pt>
                <c:pt idx="2">
                  <c:v>28.289187057446366</c:v>
                </c:pt>
                <c:pt idx="3">
                  <c:v>25.730222710943</c:v>
                </c:pt>
                <c:pt idx="4">
                  <c:v>19.55670340692992</c:v>
                </c:pt>
                <c:pt idx="5">
                  <c:v>17.54850890191303</c:v>
                </c:pt>
                <c:pt idx="6">
                  <c:v>16.12876750997216</c:v>
                </c:pt>
                <c:pt idx="7">
                  <c:v>14.468165675492646</c:v>
                </c:pt>
                <c:pt idx="8">
                  <c:v>6.493528891149228</c:v>
                </c:pt>
                <c:pt idx="9">
                  <c:v>1.604450736478154</c:v>
                </c:pt>
                <c:pt idx="10">
                  <c:v>1.1520341109947283</c:v>
                </c:pt>
                <c:pt idx="11">
                  <c:v>0</c:v>
                </c:pt>
              </c:numCache>
            </c:numRef>
          </c:yVal>
          <c:smooth val="1"/>
        </c:ser>
        <c:axId val="22318034"/>
        <c:axId val="66644579"/>
      </c:scatterChart>
      <c:valAx>
        <c:axId val="22318034"/>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Halbspannweite in mm</a:t>
                </a:r>
              </a:p>
            </c:rich>
          </c:tx>
          <c:layout>
            <c:manualLayout>
              <c:xMode val="factor"/>
              <c:yMode val="factor"/>
              <c:x val="-0.007"/>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6644579"/>
        <c:crossesAt val="0"/>
        <c:crossBetween val="midCat"/>
        <c:dispUnits/>
      </c:valAx>
      <c:valAx>
        <c:axId val="66644579"/>
        <c:scaling>
          <c:orientation val="minMax"/>
          <c:min val="0"/>
        </c:scaling>
        <c:axPos val="l"/>
        <c:title>
          <c:tx>
            <c:rich>
              <a:bodyPr vert="horz" rot="-5400000" anchor="ctr"/>
              <a:lstStyle/>
              <a:p>
                <a:pPr algn="ctr">
                  <a:defRPr/>
                </a:pPr>
                <a:r>
                  <a:rPr lang="en-US" cap="none" sz="1200" b="1" i="0" u="none" baseline="0">
                    <a:solidFill>
                      <a:srgbClr val="000000"/>
                    </a:solidFill>
                    <a:latin typeface="Arial"/>
                    <a:ea typeface="Arial"/>
                    <a:cs typeface="Arial"/>
                  </a:rPr>
                  <a:t>Anzahl Rovings</a:t>
                </a:r>
              </a:p>
            </c:rich>
          </c:tx>
          <c:layout>
            <c:manualLayout>
              <c:xMode val="factor"/>
              <c:yMode val="factor"/>
              <c:x val="-0.0052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2318034"/>
        <c:crosses val="autoZero"/>
        <c:crossBetween val="midCat"/>
        <c:dispUnits/>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solidFill>
                  <a:srgbClr val="000000"/>
                </a:solidFill>
                <a:latin typeface="Arial"/>
                <a:ea typeface="Arial"/>
                <a:cs typeface="Arial"/>
              </a:rPr>
              <a:t>UD-Gelegeanzahl und -länge</a:t>
            </a:r>
          </a:p>
        </c:rich>
      </c:tx>
      <c:layout>
        <c:manualLayout>
          <c:xMode val="factor"/>
          <c:yMode val="factor"/>
          <c:x val="-0.002"/>
          <c:y val="-0.00175"/>
        </c:manualLayout>
      </c:layout>
      <c:spPr>
        <a:noFill/>
        <a:ln>
          <a:noFill/>
        </a:ln>
      </c:spPr>
    </c:title>
    <c:plotArea>
      <c:layout>
        <c:manualLayout>
          <c:xMode val="edge"/>
          <c:yMode val="edge"/>
          <c:x val="0.065"/>
          <c:y val="0.1775"/>
          <c:w val="0.9245"/>
          <c:h val="0.71"/>
        </c:manualLayout>
      </c:layout>
      <c:scatterChart>
        <c:scatterStyle val="line"/>
        <c:varyColors val="0"/>
        <c:ser>
          <c:idx val="0"/>
          <c:order val="0"/>
          <c:spPr>
            <a:ln w="381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'Berechnung der Werte'!$V$110:$V$132</c:f>
              <c:numCache>
                <c:ptCount val="23"/>
                <c:pt idx="0">
                  <c:v>0</c:v>
                </c:pt>
                <c:pt idx="1">
                  <c:v>125</c:v>
                </c:pt>
                <c:pt idx="2">
                  <c:v>125</c:v>
                </c:pt>
                <c:pt idx="3">
                  <c:v>500</c:v>
                </c:pt>
                <c:pt idx="4">
                  <c:v>500</c:v>
                </c:pt>
                <c:pt idx="5">
                  <c:v>625</c:v>
                </c:pt>
                <c:pt idx="6">
                  <c:v>625</c:v>
                </c:pt>
                <c:pt idx="7">
                  <c:v>1000</c:v>
                </c:pt>
                <c:pt idx="8">
                  <c:v>1000</c:v>
                </c:pt>
                <c:pt idx="9">
                  <c:v>1125</c:v>
                </c:pt>
                <c:pt idx="10">
                  <c:v>1125</c:v>
                </c:pt>
                <c:pt idx="11">
                  <c:v>1230</c:v>
                </c:pt>
                <c:pt idx="12">
                  <c:v>1230</c:v>
                </c:pt>
                <c:pt idx="13">
                  <c:v>1355</c:v>
                </c:pt>
                <c:pt idx="14">
                  <c:v>1355</c:v>
                </c:pt>
                <c:pt idx="15">
                  <c:v>1855</c:v>
                </c:pt>
                <c:pt idx="16">
                  <c:v>1855</c:v>
                </c:pt>
                <c:pt idx="17">
                  <c:v>2255</c:v>
                </c:pt>
                <c:pt idx="18">
                  <c:v>2255</c:v>
                </c:pt>
                <c:pt idx="19">
                  <c:v>2285</c:v>
                </c:pt>
                <c:pt idx="20">
                  <c:v>2285</c:v>
                </c:pt>
                <c:pt idx="21">
                  <c:v>2557.5</c:v>
                </c:pt>
                <c:pt idx="22">
                  <c:v>2557.5</c:v>
                </c:pt>
              </c:numCache>
            </c:numRef>
          </c:xVal>
          <c:yVal>
            <c:numRef>
              <c:f>'Berechnung der Werte'!$X$110:$X$132</c:f>
              <c:numCache>
                <c:ptCount val="23"/>
                <c:pt idx="0">
                  <c:v>3</c:v>
                </c:pt>
                <c:pt idx="1">
                  <c:v>3</c:v>
                </c:pt>
                <c:pt idx="2">
                  <c:v>3</c:v>
                </c:pt>
                <c:pt idx="3">
                  <c:v>3</c:v>
                </c:pt>
                <c:pt idx="4">
                  <c:v>3</c:v>
                </c:pt>
                <c:pt idx="5">
                  <c:v>3</c:v>
                </c:pt>
                <c:pt idx="6">
                  <c:v>3</c:v>
                </c:pt>
                <c:pt idx="7">
                  <c:v>3</c:v>
                </c:pt>
                <c:pt idx="8">
                  <c:v>2</c:v>
                </c:pt>
                <c:pt idx="9">
                  <c:v>2</c:v>
                </c:pt>
                <c:pt idx="10">
                  <c:v>2</c:v>
                </c:pt>
                <c:pt idx="11">
                  <c:v>2</c:v>
                </c:pt>
                <c:pt idx="12">
                  <c:v>2</c:v>
                </c:pt>
                <c:pt idx="13">
                  <c:v>2</c:v>
                </c:pt>
                <c:pt idx="14">
                  <c:v>2</c:v>
                </c:pt>
                <c:pt idx="15">
                  <c:v>2</c:v>
                </c:pt>
                <c:pt idx="16">
                  <c:v>1</c:v>
                </c:pt>
                <c:pt idx="17">
                  <c:v>1</c:v>
                </c:pt>
                <c:pt idx="18">
                  <c:v>1</c:v>
                </c:pt>
                <c:pt idx="19">
                  <c:v>1</c:v>
                </c:pt>
                <c:pt idx="20">
                  <c:v>1</c:v>
                </c:pt>
                <c:pt idx="21">
                  <c:v>1</c:v>
                </c:pt>
                <c:pt idx="22">
                  <c:v>0</c:v>
                </c:pt>
              </c:numCache>
            </c:numRef>
          </c:yVal>
          <c:smooth val="0"/>
        </c:ser>
        <c:axId val="64189510"/>
        <c:axId val="40834679"/>
      </c:scatterChart>
      <c:valAx>
        <c:axId val="64189510"/>
        <c:scaling>
          <c:orientation val="minMax"/>
        </c:scaling>
        <c:axPos val="b"/>
        <c:title>
          <c:tx>
            <c:rich>
              <a:bodyPr vert="horz" rot="0" anchor="ctr"/>
              <a:lstStyle/>
              <a:p>
                <a:pPr algn="ctr">
                  <a:defRPr/>
                </a:pPr>
                <a:r>
                  <a:rPr lang="en-US" cap="none" sz="2050" b="1" i="0" u="none" baseline="0">
                    <a:solidFill>
                      <a:srgbClr val="000000"/>
                    </a:solidFill>
                    <a:latin typeface="Arial"/>
                    <a:ea typeface="Arial"/>
                    <a:cs typeface="Arial"/>
                  </a:rPr>
                  <a:t>Halbspannweite in mm</a:t>
                </a:r>
              </a:p>
            </c:rich>
          </c:tx>
          <c:layout>
            <c:manualLayout>
              <c:xMode val="factor"/>
              <c:yMode val="factor"/>
              <c:x val="-0.018"/>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0834679"/>
        <c:crosses val="autoZero"/>
        <c:crossBetween val="midCat"/>
        <c:dispUnits/>
      </c:valAx>
      <c:valAx>
        <c:axId val="40834679"/>
        <c:scaling>
          <c:orientation val="minMax"/>
        </c:scaling>
        <c:axPos val="l"/>
        <c:title>
          <c:tx>
            <c:rich>
              <a:bodyPr vert="horz" rot="-5400000" anchor="ctr"/>
              <a:lstStyle/>
              <a:p>
                <a:pPr algn="ctr">
                  <a:defRPr/>
                </a:pPr>
                <a:r>
                  <a:rPr lang="en-US" cap="none" sz="2050" b="1" i="0" u="none" baseline="0">
                    <a:solidFill>
                      <a:srgbClr val="000000"/>
                    </a:solidFill>
                    <a:latin typeface="Arial"/>
                    <a:ea typeface="Arial"/>
                    <a:cs typeface="Arial"/>
                  </a:rPr>
                  <a:t>Anzahl Gelegelagen</a:t>
                </a:r>
              </a:p>
            </c:rich>
          </c:tx>
          <c:layout>
            <c:manualLayout>
              <c:xMode val="factor"/>
              <c:yMode val="factor"/>
              <c:x val="-0.0122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4189510"/>
        <c:crosses val="autoZero"/>
        <c:crossBetween val="midCat"/>
        <c:dispUnits/>
      </c:valAx>
      <c:spPr>
        <a:solidFill>
          <a:srgbClr val="FFFFFF"/>
        </a:solidFill>
        <a:ln w="12700">
          <a:solidFill>
            <a:srgbClr val="FFFFFF"/>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0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
          <c:y val="0.0145"/>
          <c:w val="0.965"/>
          <c:h val="0.9405"/>
        </c:manualLayout>
      </c:layout>
      <c:barChart>
        <c:barDir val="col"/>
        <c:grouping val="clustered"/>
        <c:varyColors val="0"/>
        <c:axId val="62930300"/>
        <c:axId val="29501789"/>
      </c:barChart>
      <c:catAx>
        <c:axId val="62930300"/>
        <c:scaling>
          <c:orientation val="minMax"/>
        </c:scaling>
        <c:axPos val="b"/>
        <c:delete val="0"/>
        <c:numFmt formatCode="General" sourceLinked="1"/>
        <c:majorTickMark val="cross"/>
        <c:minorTickMark val="none"/>
        <c:tickLblPos val="nextTo"/>
        <c:spPr>
          <a:ln w="3175">
            <a:solidFill>
              <a:srgbClr val="000000"/>
            </a:solidFill>
          </a:ln>
        </c:spPr>
        <c:crossAx val="29501789"/>
        <c:crosses val="autoZero"/>
        <c:auto val="1"/>
        <c:lblOffset val="100"/>
        <c:tickLblSkip val="1"/>
        <c:noMultiLvlLbl val="0"/>
      </c:catAx>
      <c:valAx>
        <c:axId val="29501789"/>
        <c:scaling>
          <c:orientation val="minMax"/>
        </c:scaling>
        <c:axPos val="l"/>
        <c:delete val="0"/>
        <c:numFmt formatCode="General" sourceLinked="1"/>
        <c:majorTickMark val="cross"/>
        <c:minorTickMark val="none"/>
        <c:tickLblPos val="nextTo"/>
        <c:spPr>
          <a:ln w="3175">
            <a:solidFill>
              <a:srgbClr val="000000"/>
            </a:solidFill>
          </a:ln>
        </c:spPr>
        <c:crossAx val="62930300"/>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925"/>
          <c:y val="0.0165"/>
          <c:w val="0.9175"/>
          <c:h val="0.916"/>
        </c:manualLayout>
      </c:layout>
      <c:scatterChart>
        <c:scatterStyle val="smoothMarker"/>
        <c:varyColors val="0"/>
        <c:ser>
          <c:idx val="0"/>
          <c:order val="0"/>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numRef>
              <c:f>'Berechnung der Werte'!$C$110:$C$121</c:f>
              <c:numCache>
                <c:ptCount val="12"/>
                <c:pt idx="0">
                  <c:v>0</c:v>
                </c:pt>
                <c:pt idx="1">
                  <c:v>125</c:v>
                </c:pt>
                <c:pt idx="2">
                  <c:v>500</c:v>
                </c:pt>
                <c:pt idx="3">
                  <c:v>625</c:v>
                </c:pt>
                <c:pt idx="4">
                  <c:v>1000</c:v>
                </c:pt>
                <c:pt idx="5">
                  <c:v>1125</c:v>
                </c:pt>
                <c:pt idx="6">
                  <c:v>1230</c:v>
                </c:pt>
                <c:pt idx="7">
                  <c:v>1355</c:v>
                </c:pt>
                <c:pt idx="8">
                  <c:v>1855</c:v>
                </c:pt>
                <c:pt idx="9">
                  <c:v>2255</c:v>
                </c:pt>
                <c:pt idx="10">
                  <c:v>2285</c:v>
                </c:pt>
                <c:pt idx="11">
                  <c:v>2557.5</c:v>
                </c:pt>
              </c:numCache>
            </c:numRef>
          </c:xVal>
          <c:yVal>
            <c:numRef>
              <c:f>'Berechnung der Werte'!$R$110:$R$121</c:f>
              <c:numCache>
                <c:ptCount val="12"/>
                <c:pt idx="0">
                  <c:v>0.125925263766768</c:v>
                </c:pt>
                <c:pt idx="1">
                  <c:v>0.11924592104561557</c:v>
                </c:pt>
                <c:pt idx="2">
                  <c:v>0.11004697626610109</c:v>
                </c:pt>
                <c:pt idx="3">
                  <c:v>0.1065647693511929</c:v>
                </c:pt>
                <c:pt idx="4">
                  <c:v>0.10049686094511485</c:v>
                </c:pt>
                <c:pt idx="5">
                  <c:v>0.09804715817577273</c:v>
                </c:pt>
                <c:pt idx="6">
                  <c:v>0.09724253783789158</c:v>
                </c:pt>
                <c:pt idx="7">
                  <c:v>0.09630278024699797</c:v>
                </c:pt>
                <c:pt idx="8">
                  <c:v>0.07396813132460253</c:v>
                </c:pt>
                <c:pt idx="9">
                  <c:v>0.04243348722214451</c:v>
                </c:pt>
                <c:pt idx="10">
                  <c:v>0.03382189136717838</c:v>
                </c:pt>
                <c:pt idx="11">
                  <c:v>0</c:v>
                </c:pt>
              </c:numCache>
            </c:numRef>
          </c:yVal>
          <c:smooth val="1"/>
        </c:ser>
        <c:axId val="31967792"/>
        <c:axId val="19274673"/>
      </c:scatterChart>
      <c:valAx>
        <c:axId val="31967792"/>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Halbspannweite in mm</a:t>
                </a:r>
              </a:p>
            </c:rich>
          </c:tx>
          <c:layout>
            <c:manualLayout>
              <c:xMode val="factor"/>
              <c:yMode val="factor"/>
              <c:x val="-0.007"/>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9274673"/>
        <c:crosses val="autoZero"/>
        <c:crossBetween val="midCat"/>
        <c:dispUnits/>
      </c:valAx>
      <c:valAx>
        <c:axId val="19274673"/>
        <c:scaling>
          <c:orientation val="minMax"/>
          <c:min val="0"/>
        </c:scaling>
        <c:axPos val="l"/>
        <c:title>
          <c:tx>
            <c:rich>
              <a:bodyPr vert="horz" rot="-5400000" anchor="ctr"/>
              <a:lstStyle/>
              <a:p>
                <a:pPr algn="ctr">
                  <a:defRPr/>
                </a:pPr>
                <a:r>
                  <a:rPr lang="en-US" cap="none" sz="1200" b="1" i="0" u="none" baseline="0">
                    <a:solidFill>
                      <a:srgbClr val="000000"/>
                    </a:solidFill>
                    <a:latin typeface="Arial"/>
                    <a:ea typeface="Arial"/>
                    <a:cs typeface="Arial"/>
                  </a:rPr>
                  <a:t>Dicke der Stegbeschichtung in mm</a:t>
                </a:r>
              </a:p>
            </c:rich>
          </c:tx>
          <c:layout>
            <c:manualLayout>
              <c:xMode val="factor"/>
              <c:yMode val="factor"/>
              <c:x val="-0.009"/>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1967792"/>
        <c:crosses val="autoZero"/>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Diagramm3"/>
  <sheetViews>
    <sheetView workbookViewId="0" zoomScale="93"/>
  </sheetViews>
  <pageMargins left="0.787401575" right="0.787401575" top="0.984251969" bottom="0.984251969" header="0.4921259845" footer="0.4921259845"/>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130"/>
  </sheetViews>
  <pageMargins left="0.787401575" right="0.787401575" top="0.984251969" bottom="0.984251969" header="0.4921259845" footer="0.4921259845"/>
  <drawing r:id="rId1"/>
</chartsheet>
</file>

<file path=xl/chartsheets/sheet3.xml><?xml version="1.0" encoding="utf-8"?>
<chartsheet xmlns="http://schemas.openxmlformats.org/spreadsheetml/2006/main" xmlns:r="http://schemas.openxmlformats.org/officeDocument/2006/relationships">
  <sheetPr codeName="Diagramm4"/>
  <sheetViews>
    <sheetView workbookViewId="0" zoomScale="93"/>
  </sheetViews>
  <pageMargins left="0.787401575" right="0.787401575" top="0.984251969" bottom="0.984251969" header="0.4921259845" footer="0.492125984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5.emf" /><Relationship Id="rId3"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123</xdr:row>
      <xdr:rowOff>57150</xdr:rowOff>
    </xdr:from>
    <xdr:to>
      <xdr:col>6</xdr:col>
      <xdr:colOff>704850</xdr:colOff>
      <xdr:row>132</xdr:row>
      <xdr:rowOff>57150</xdr:rowOff>
    </xdr:to>
    <xdr:sp>
      <xdr:nvSpPr>
        <xdr:cNvPr id="1" name="Bogen 17"/>
        <xdr:cNvSpPr>
          <a:spLocks/>
        </xdr:cNvSpPr>
      </xdr:nvSpPr>
      <xdr:spPr>
        <a:xfrm rot="4518770">
          <a:off x="1000125" y="33670875"/>
          <a:ext cx="6962775" cy="1714500"/>
        </a:xfrm>
        <a:custGeom>
          <a:pathLst>
            <a:path stroke="0" h="7227842" w="1722427">
              <a:moveTo>
                <a:pt x="1644045" y="2146428"/>
              </a:moveTo>
              <a:cubicBezTo>
                <a:pt x="1697322" y="2650843"/>
                <a:pt x="1722427" y="3199897"/>
                <a:pt x="1717433" y="3751468"/>
              </a:cubicBezTo>
              <a:cubicBezTo>
                <a:pt x="1707483" y="4850440"/>
                <a:pt x="1579126" y="5870550"/>
                <a:pt x="1368693" y="6523048"/>
              </a:cubicBezTo>
              <a:lnTo>
                <a:pt x="859028" y="3613921"/>
              </a:lnTo>
              <a:lnTo>
                <a:pt x="1644045" y="2146428"/>
              </a:lnTo>
              <a:close/>
            </a:path>
            <a:path fill="none" h="7227842" w="1722427">
              <a:moveTo>
                <a:pt x="1644045" y="2146428"/>
              </a:moveTo>
              <a:cubicBezTo>
                <a:pt x="1697322" y="2650843"/>
                <a:pt x="1722427" y="3199897"/>
                <a:pt x="1717433" y="3751468"/>
              </a:cubicBezTo>
              <a:cubicBezTo>
                <a:pt x="1707483" y="4850440"/>
                <a:pt x="1579126" y="5870550"/>
                <a:pt x="1368693" y="6523048"/>
              </a:cubicBezTo>
            </a:path>
          </a:pathLst>
        </a:custGeom>
        <a:solidFill>
          <a:srgbClr val="FFFFFF"/>
        </a:solidFill>
        <a:ln w="63500" cmpd="sng">
          <a:solidFill>
            <a:srgbClr val="000000"/>
          </a:solidFill>
          <a:headEnd type="none"/>
          <a:tailEnd type="non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3</xdr:col>
      <xdr:colOff>542925</xdr:colOff>
      <xdr:row>88</xdr:row>
      <xdr:rowOff>9525</xdr:rowOff>
    </xdr:from>
    <xdr:to>
      <xdr:col>5</xdr:col>
      <xdr:colOff>247650</xdr:colOff>
      <xdr:row>93</xdr:row>
      <xdr:rowOff>104775</xdr:rowOff>
    </xdr:to>
    <xdr:sp>
      <xdr:nvSpPr>
        <xdr:cNvPr id="2" name="Rectangle 4"/>
        <xdr:cNvSpPr>
          <a:spLocks/>
        </xdr:cNvSpPr>
      </xdr:nvSpPr>
      <xdr:spPr>
        <a:xfrm>
          <a:off x="5524500" y="24536400"/>
          <a:ext cx="1238250" cy="1114425"/>
        </a:xfrm>
        <a:prstGeom prst="rect">
          <a:avLst/>
        </a:prstGeom>
        <a:solidFill>
          <a:srgbClr val="FCD5B5"/>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93</xdr:row>
      <xdr:rowOff>114300</xdr:rowOff>
    </xdr:from>
    <xdr:to>
      <xdr:col>5</xdr:col>
      <xdr:colOff>247650</xdr:colOff>
      <xdr:row>94</xdr:row>
      <xdr:rowOff>142875</xdr:rowOff>
    </xdr:to>
    <xdr:sp>
      <xdr:nvSpPr>
        <xdr:cNvPr id="3" name="Rectangle 5"/>
        <xdr:cNvSpPr>
          <a:spLocks/>
        </xdr:cNvSpPr>
      </xdr:nvSpPr>
      <xdr:spPr>
        <a:xfrm>
          <a:off x="5524500" y="25660350"/>
          <a:ext cx="1238250" cy="2190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86</xdr:row>
      <xdr:rowOff>161925</xdr:rowOff>
    </xdr:from>
    <xdr:to>
      <xdr:col>5</xdr:col>
      <xdr:colOff>247650</xdr:colOff>
      <xdr:row>88</xdr:row>
      <xdr:rowOff>9525</xdr:rowOff>
    </xdr:to>
    <xdr:sp>
      <xdr:nvSpPr>
        <xdr:cNvPr id="4" name="Rectangle 6"/>
        <xdr:cNvSpPr>
          <a:spLocks/>
        </xdr:cNvSpPr>
      </xdr:nvSpPr>
      <xdr:spPr>
        <a:xfrm>
          <a:off x="5524500" y="24307800"/>
          <a:ext cx="1238250" cy="2286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133350</xdr:colOff>
      <xdr:row>94</xdr:row>
      <xdr:rowOff>142875</xdr:rowOff>
    </xdr:from>
    <xdr:to>
      <xdr:col>7</xdr:col>
      <xdr:colOff>0</xdr:colOff>
      <xdr:row>95</xdr:row>
      <xdr:rowOff>142875</xdr:rowOff>
    </xdr:to>
    <xdr:sp>
      <xdr:nvSpPr>
        <xdr:cNvPr id="5" name="Rectangle 7"/>
        <xdr:cNvSpPr>
          <a:spLocks/>
        </xdr:cNvSpPr>
      </xdr:nvSpPr>
      <xdr:spPr>
        <a:xfrm>
          <a:off x="4267200" y="25879425"/>
          <a:ext cx="3733800" cy="190500"/>
        </a:xfrm>
        <a:prstGeom prst="rect">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86</xdr:row>
      <xdr:rowOff>9525</xdr:rowOff>
    </xdr:from>
    <xdr:to>
      <xdr:col>7</xdr:col>
      <xdr:colOff>0</xdr:colOff>
      <xdr:row>86</xdr:row>
      <xdr:rowOff>161925</xdr:rowOff>
    </xdr:to>
    <xdr:sp>
      <xdr:nvSpPr>
        <xdr:cNvPr id="6" name="Rectangle 8"/>
        <xdr:cNvSpPr>
          <a:spLocks/>
        </xdr:cNvSpPr>
      </xdr:nvSpPr>
      <xdr:spPr>
        <a:xfrm>
          <a:off x="4248150" y="24155400"/>
          <a:ext cx="3752850" cy="152400"/>
        </a:xfrm>
        <a:prstGeom prst="rect">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76200</xdr:colOff>
      <xdr:row>86</xdr:row>
      <xdr:rowOff>161925</xdr:rowOff>
    </xdr:from>
    <xdr:to>
      <xdr:col>6</xdr:col>
      <xdr:colOff>76200</xdr:colOff>
      <xdr:row>94</xdr:row>
      <xdr:rowOff>152400</xdr:rowOff>
    </xdr:to>
    <xdr:sp>
      <xdr:nvSpPr>
        <xdr:cNvPr id="7" name="Line 9"/>
        <xdr:cNvSpPr>
          <a:spLocks/>
        </xdr:cNvSpPr>
      </xdr:nvSpPr>
      <xdr:spPr>
        <a:xfrm>
          <a:off x="7334250" y="24307800"/>
          <a:ext cx="0" cy="158115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314325</xdr:colOff>
      <xdr:row>82</xdr:row>
      <xdr:rowOff>180975</xdr:rowOff>
    </xdr:from>
    <xdr:to>
      <xdr:col>6</xdr:col>
      <xdr:colOff>314325</xdr:colOff>
      <xdr:row>86</xdr:row>
      <xdr:rowOff>28575</xdr:rowOff>
    </xdr:to>
    <xdr:sp>
      <xdr:nvSpPr>
        <xdr:cNvPr id="8" name="Line 10"/>
        <xdr:cNvSpPr>
          <a:spLocks/>
        </xdr:cNvSpPr>
      </xdr:nvSpPr>
      <xdr:spPr>
        <a:xfrm>
          <a:off x="7572375" y="23564850"/>
          <a:ext cx="0" cy="609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314325</xdr:colOff>
      <xdr:row>86</xdr:row>
      <xdr:rowOff>161925</xdr:rowOff>
    </xdr:from>
    <xdr:to>
      <xdr:col>6</xdr:col>
      <xdr:colOff>314325</xdr:colOff>
      <xdr:row>88</xdr:row>
      <xdr:rowOff>9525</xdr:rowOff>
    </xdr:to>
    <xdr:sp>
      <xdr:nvSpPr>
        <xdr:cNvPr id="9" name="Line 11"/>
        <xdr:cNvSpPr>
          <a:spLocks/>
        </xdr:cNvSpPr>
      </xdr:nvSpPr>
      <xdr:spPr>
        <a:xfrm flipV="1">
          <a:off x="7572375" y="2430780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xdr:colOff>
      <xdr:row>92</xdr:row>
      <xdr:rowOff>104775</xdr:rowOff>
    </xdr:from>
    <xdr:to>
      <xdr:col>4</xdr:col>
      <xdr:colOff>38100</xdr:colOff>
      <xdr:row>93</xdr:row>
      <xdr:rowOff>123825</xdr:rowOff>
    </xdr:to>
    <xdr:sp>
      <xdr:nvSpPr>
        <xdr:cNvPr id="10" name="Line 12"/>
        <xdr:cNvSpPr>
          <a:spLocks/>
        </xdr:cNvSpPr>
      </xdr:nvSpPr>
      <xdr:spPr>
        <a:xfrm>
          <a:off x="5829300" y="25460325"/>
          <a:ext cx="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94</xdr:row>
      <xdr:rowOff>123825</xdr:rowOff>
    </xdr:from>
    <xdr:to>
      <xdr:col>4</xdr:col>
      <xdr:colOff>28575</xdr:colOff>
      <xdr:row>96</xdr:row>
      <xdr:rowOff>9525</xdr:rowOff>
    </xdr:to>
    <xdr:sp>
      <xdr:nvSpPr>
        <xdr:cNvPr id="11" name="Line 13"/>
        <xdr:cNvSpPr>
          <a:spLocks/>
        </xdr:cNvSpPr>
      </xdr:nvSpPr>
      <xdr:spPr>
        <a:xfrm flipV="1">
          <a:off x="5819775" y="25860375"/>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86</xdr:row>
      <xdr:rowOff>28575</xdr:rowOff>
    </xdr:from>
    <xdr:to>
      <xdr:col>8</xdr:col>
      <xdr:colOff>0</xdr:colOff>
      <xdr:row>86</xdr:row>
      <xdr:rowOff>28575</xdr:rowOff>
    </xdr:to>
    <xdr:sp>
      <xdr:nvSpPr>
        <xdr:cNvPr id="12" name="Line 14"/>
        <xdr:cNvSpPr>
          <a:spLocks/>
        </xdr:cNvSpPr>
      </xdr:nvSpPr>
      <xdr:spPr>
        <a:xfrm>
          <a:off x="8001000" y="2417445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95</xdr:row>
      <xdr:rowOff>142875</xdr:rowOff>
    </xdr:from>
    <xdr:to>
      <xdr:col>7</xdr:col>
      <xdr:colOff>400050</xdr:colOff>
      <xdr:row>95</xdr:row>
      <xdr:rowOff>142875</xdr:rowOff>
    </xdr:to>
    <xdr:sp>
      <xdr:nvSpPr>
        <xdr:cNvPr id="13" name="Line 15"/>
        <xdr:cNvSpPr>
          <a:spLocks/>
        </xdr:cNvSpPr>
      </xdr:nvSpPr>
      <xdr:spPr>
        <a:xfrm>
          <a:off x="8001000" y="26069925"/>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371475</xdr:colOff>
      <xdr:row>86</xdr:row>
      <xdr:rowOff>9525</xdr:rowOff>
    </xdr:from>
    <xdr:to>
      <xdr:col>7</xdr:col>
      <xdr:colOff>371475</xdr:colOff>
      <xdr:row>95</xdr:row>
      <xdr:rowOff>123825</xdr:rowOff>
    </xdr:to>
    <xdr:sp>
      <xdr:nvSpPr>
        <xdr:cNvPr id="14" name="Line 16"/>
        <xdr:cNvSpPr>
          <a:spLocks/>
        </xdr:cNvSpPr>
      </xdr:nvSpPr>
      <xdr:spPr>
        <a:xfrm flipH="1">
          <a:off x="8372475" y="24155400"/>
          <a:ext cx="0" cy="18954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88</xdr:row>
      <xdr:rowOff>28575</xdr:rowOff>
    </xdr:from>
    <xdr:to>
      <xdr:col>3</xdr:col>
      <xdr:colOff>514350</xdr:colOff>
      <xdr:row>88</xdr:row>
      <xdr:rowOff>28575</xdr:rowOff>
    </xdr:to>
    <xdr:sp>
      <xdr:nvSpPr>
        <xdr:cNvPr id="15" name="Line 17"/>
        <xdr:cNvSpPr>
          <a:spLocks/>
        </xdr:cNvSpPr>
      </xdr:nvSpPr>
      <xdr:spPr>
        <a:xfrm flipH="1">
          <a:off x="5162550" y="245554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93</xdr:row>
      <xdr:rowOff>114300</xdr:rowOff>
    </xdr:from>
    <xdr:to>
      <xdr:col>3</xdr:col>
      <xdr:colOff>533400</xdr:colOff>
      <xdr:row>93</xdr:row>
      <xdr:rowOff>114300</xdr:rowOff>
    </xdr:to>
    <xdr:sp>
      <xdr:nvSpPr>
        <xdr:cNvPr id="16" name="Line 18"/>
        <xdr:cNvSpPr>
          <a:spLocks/>
        </xdr:cNvSpPr>
      </xdr:nvSpPr>
      <xdr:spPr>
        <a:xfrm flipH="1">
          <a:off x="5181600" y="256603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88</xdr:row>
      <xdr:rowOff>9525</xdr:rowOff>
    </xdr:from>
    <xdr:to>
      <xdr:col>3</xdr:col>
      <xdr:colOff>228600</xdr:colOff>
      <xdr:row>93</xdr:row>
      <xdr:rowOff>123825</xdr:rowOff>
    </xdr:to>
    <xdr:sp>
      <xdr:nvSpPr>
        <xdr:cNvPr id="17" name="Line 19"/>
        <xdr:cNvSpPr>
          <a:spLocks/>
        </xdr:cNvSpPr>
      </xdr:nvSpPr>
      <xdr:spPr>
        <a:xfrm flipH="1">
          <a:off x="5210175" y="24536400"/>
          <a:ext cx="0" cy="11334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257175</xdr:colOff>
      <xdr:row>89</xdr:row>
      <xdr:rowOff>95250</xdr:rowOff>
    </xdr:from>
    <xdr:ext cx="533400" cy="514350"/>
    <xdr:sp>
      <xdr:nvSpPr>
        <xdr:cNvPr id="18" name="Text Box 20"/>
        <xdr:cNvSpPr txBox="1">
          <a:spLocks noChangeArrowheads="1"/>
        </xdr:cNvSpPr>
      </xdr:nvSpPr>
      <xdr:spPr>
        <a:xfrm>
          <a:off x="4391025" y="24879300"/>
          <a:ext cx="533400" cy="514350"/>
        </a:xfrm>
        <a:prstGeom prst="rect">
          <a:avLst/>
        </a:prstGeom>
        <a:noFill/>
        <a:ln w="9525" cmpd="sng">
          <a:noFill/>
        </a:ln>
      </xdr:spPr>
      <xdr:txBody>
        <a:bodyPr vertOverflow="clip" wrap="square"/>
        <a:p>
          <a:pPr algn="l">
            <a:defRPr/>
          </a:pPr>
          <a:r>
            <a:rPr lang="en-US" cap="none" sz="2400" b="0" i="0" u="none" baseline="0">
              <a:solidFill>
                <a:srgbClr val="000000"/>
              </a:solidFill>
              <a:latin typeface="Arial"/>
              <a:ea typeface="Arial"/>
              <a:cs typeface="Arial"/>
            </a:rPr>
            <a:t>h1
</a:t>
          </a:r>
        </a:p>
      </xdr:txBody>
    </xdr:sp>
    <xdr:clientData/>
  </xdr:oneCellAnchor>
  <xdr:oneCellAnchor>
    <xdr:from>
      <xdr:col>4</xdr:col>
      <xdr:colOff>219075</xdr:colOff>
      <xdr:row>91</xdr:row>
      <xdr:rowOff>85725</xdr:rowOff>
    </xdr:from>
    <xdr:ext cx="276225" cy="495300"/>
    <xdr:sp>
      <xdr:nvSpPr>
        <xdr:cNvPr id="19" name="Text Box 21"/>
        <xdr:cNvSpPr txBox="1">
          <a:spLocks noChangeArrowheads="1"/>
        </xdr:cNvSpPr>
      </xdr:nvSpPr>
      <xdr:spPr>
        <a:xfrm>
          <a:off x="6010275" y="25250775"/>
          <a:ext cx="276225" cy="495300"/>
        </a:xfrm>
        <a:prstGeom prst="rect">
          <a:avLst/>
        </a:prstGeom>
        <a:noFill/>
        <a:ln w="9525" cmpd="sng">
          <a:noFill/>
        </a:ln>
      </xdr:spPr>
      <xdr:txBody>
        <a:bodyPr vertOverflow="clip" wrap="square"/>
        <a:p>
          <a:pPr algn="l">
            <a:defRPr/>
          </a:pPr>
          <a:r>
            <a:rPr lang="en-US" cap="none" sz="2400" b="0" i="0" u="none" baseline="0">
              <a:solidFill>
                <a:srgbClr val="000000"/>
              </a:solidFill>
              <a:latin typeface="Arial"/>
              <a:ea typeface="Arial"/>
              <a:cs typeface="Arial"/>
            </a:rPr>
            <a:t>t
</a:t>
          </a:r>
          <a:r>
            <a:rPr lang="en-US" cap="none" sz="2400" b="0" i="0" u="none" baseline="0">
              <a:solidFill>
                <a:srgbClr val="000000"/>
              </a:solidFill>
              <a:latin typeface="Arial"/>
              <a:ea typeface="Arial"/>
              <a:cs typeface="Arial"/>
            </a:rPr>
            <a:t>
</a:t>
          </a:r>
        </a:p>
      </xdr:txBody>
    </xdr:sp>
    <xdr:clientData/>
  </xdr:oneCellAnchor>
  <xdr:oneCellAnchor>
    <xdr:from>
      <xdr:col>6</xdr:col>
      <xdr:colOff>342900</xdr:colOff>
      <xdr:row>81</xdr:row>
      <xdr:rowOff>161925</xdr:rowOff>
    </xdr:from>
    <xdr:ext cx="2362200" cy="704850"/>
    <xdr:sp>
      <xdr:nvSpPr>
        <xdr:cNvPr id="20" name="Text Box 22"/>
        <xdr:cNvSpPr txBox="1">
          <a:spLocks noChangeArrowheads="1"/>
        </xdr:cNvSpPr>
      </xdr:nvSpPr>
      <xdr:spPr>
        <a:xfrm>
          <a:off x="7600950" y="23355300"/>
          <a:ext cx="2362200" cy="704850"/>
        </a:xfrm>
        <a:prstGeom prst="rect">
          <a:avLst/>
        </a:prstGeom>
        <a:noFill/>
        <a:ln w="9525" cmpd="sng">
          <a:noFill/>
        </a:ln>
      </xdr:spPr>
      <xdr:txBody>
        <a:bodyPr vertOverflow="clip" wrap="square"/>
        <a:p>
          <a:pPr algn="l">
            <a:defRPr/>
          </a:pPr>
          <a:r>
            <a:rPr lang="en-US" cap="none" sz="1600" b="0" i="0" u="none" baseline="0">
              <a:solidFill>
                <a:srgbClr val="000000"/>
              </a:solidFill>
              <a:latin typeface="Arial"/>
              <a:ea typeface="Arial"/>
              <a:cs typeface="Arial"/>
            </a:rPr>
            <a:t>Beplankungsdicke oder Sandwichschalendicke</a:t>
          </a:r>
          <a:r>
            <a:rPr lang="en-US" cap="none" sz="2400" b="0" i="0" u="none" baseline="0">
              <a:solidFill>
                <a:srgbClr val="000000"/>
              </a:solidFill>
              <a:latin typeface="Arial"/>
              <a:ea typeface="Arial"/>
              <a:cs typeface="Arial"/>
            </a:rPr>
            <a:t>
</a:t>
          </a:r>
        </a:p>
      </xdr:txBody>
    </xdr:sp>
    <xdr:clientData/>
  </xdr:oneCellAnchor>
  <xdr:oneCellAnchor>
    <xdr:from>
      <xdr:col>6</xdr:col>
      <xdr:colOff>57150</xdr:colOff>
      <xdr:row>89</xdr:row>
      <xdr:rowOff>123825</xdr:rowOff>
    </xdr:from>
    <xdr:ext cx="352425" cy="419100"/>
    <xdr:sp>
      <xdr:nvSpPr>
        <xdr:cNvPr id="21" name="Text Box 23"/>
        <xdr:cNvSpPr txBox="1">
          <a:spLocks noChangeArrowheads="1"/>
        </xdr:cNvSpPr>
      </xdr:nvSpPr>
      <xdr:spPr>
        <a:xfrm>
          <a:off x="7315200" y="24907875"/>
          <a:ext cx="352425" cy="419100"/>
        </a:xfrm>
        <a:prstGeom prst="rect">
          <a:avLst/>
        </a:prstGeom>
        <a:noFill/>
        <a:ln w="9525" cmpd="sng">
          <a:noFill/>
        </a:ln>
      </xdr:spPr>
      <xdr:txBody>
        <a:bodyPr vertOverflow="clip" wrap="square"/>
        <a:p>
          <a:pPr algn="l">
            <a:defRPr/>
          </a:pPr>
          <a:r>
            <a:rPr lang="en-US" cap="none" sz="2400" b="0" i="0" u="none" baseline="0">
              <a:solidFill>
                <a:srgbClr val="000000"/>
              </a:solidFill>
              <a:latin typeface="Arial"/>
              <a:ea typeface="Arial"/>
              <a:cs typeface="Arial"/>
            </a:rPr>
            <a:t>h
</a:t>
          </a:r>
        </a:p>
      </xdr:txBody>
    </xdr:sp>
    <xdr:clientData/>
  </xdr:oneCellAnchor>
  <xdr:oneCellAnchor>
    <xdr:from>
      <xdr:col>7</xdr:col>
      <xdr:colOff>457200</xdr:colOff>
      <xdr:row>89</xdr:row>
      <xdr:rowOff>28575</xdr:rowOff>
    </xdr:from>
    <xdr:ext cx="352425" cy="800100"/>
    <xdr:sp>
      <xdr:nvSpPr>
        <xdr:cNvPr id="22" name="Text Box 24"/>
        <xdr:cNvSpPr txBox="1">
          <a:spLocks noChangeArrowheads="1"/>
        </xdr:cNvSpPr>
      </xdr:nvSpPr>
      <xdr:spPr>
        <a:xfrm>
          <a:off x="8458200" y="24812625"/>
          <a:ext cx="352425" cy="800100"/>
        </a:xfrm>
        <a:prstGeom prst="rect">
          <a:avLst/>
        </a:prstGeom>
        <a:noFill/>
        <a:ln w="9525" cmpd="sng">
          <a:noFill/>
        </a:ln>
      </xdr:spPr>
      <xdr:txBody>
        <a:bodyPr vertOverflow="clip" wrap="square">
          <a:spAutoFit/>
        </a:bodyPr>
        <a:p>
          <a:pPr algn="l">
            <a:defRPr/>
          </a:pPr>
          <a:r>
            <a:rPr lang="en-US" cap="none" sz="2400" b="0" i="0" u="none" baseline="0">
              <a:solidFill>
                <a:srgbClr val="000000"/>
              </a:solidFill>
              <a:latin typeface="Arial"/>
              <a:ea typeface="Arial"/>
              <a:cs typeface="Arial"/>
            </a:rPr>
            <a:t>H
</a:t>
          </a:r>
        </a:p>
      </xdr:txBody>
    </xdr:sp>
    <xdr:clientData/>
  </xdr:oneCellAnchor>
  <xdr:twoCellAnchor>
    <xdr:from>
      <xdr:col>3</xdr:col>
      <xdr:colOff>542925</xdr:colOff>
      <xdr:row>83</xdr:row>
      <xdr:rowOff>47625</xdr:rowOff>
    </xdr:from>
    <xdr:to>
      <xdr:col>3</xdr:col>
      <xdr:colOff>542925</xdr:colOff>
      <xdr:row>86</xdr:row>
      <xdr:rowOff>161925</xdr:rowOff>
    </xdr:to>
    <xdr:sp>
      <xdr:nvSpPr>
        <xdr:cNvPr id="23" name="Line 25"/>
        <xdr:cNvSpPr>
          <a:spLocks/>
        </xdr:cNvSpPr>
      </xdr:nvSpPr>
      <xdr:spPr>
        <a:xfrm flipV="1">
          <a:off x="5524500" y="23622000"/>
          <a:ext cx="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83</xdr:row>
      <xdr:rowOff>66675</xdr:rowOff>
    </xdr:from>
    <xdr:to>
      <xdr:col>5</xdr:col>
      <xdr:colOff>247650</xdr:colOff>
      <xdr:row>86</xdr:row>
      <xdr:rowOff>161925</xdr:rowOff>
    </xdr:to>
    <xdr:sp>
      <xdr:nvSpPr>
        <xdr:cNvPr id="24" name="Line 26"/>
        <xdr:cNvSpPr>
          <a:spLocks/>
        </xdr:cNvSpPr>
      </xdr:nvSpPr>
      <xdr:spPr>
        <a:xfrm flipV="1">
          <a:off x="6762750" y="23641050"/>
          <a:ext cx="0"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83</xdr:row>
      <xdr:rowOff>142875</xdr:rowOff>
    </xdr:from>
    <xdr:to>
      <xdr:col>5</xdr:col>
      <xdr:colOff>247650</xdr:colOff>
      <xdr:row>83</xdr:row>
      <xdr:rowOff>142875</xdr:rowOff>
    </xdr:to>
    <xdr:sp>
      <xdr:nvSpPr>
        <xdr:cNvPr id="25" name="Line 27"/>
        <xdr:cNvSpPr>
          <a:spLocks/>
        </xdr:cNvSpPr>
      </xdr:nvSpPr>
      <xdr:spPr>
        <a:xfrm flipV="1">
          <a:off x="5524500" y="23717250"/>
          <a:ext cx="12382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200025</xdr:colOff>
      <xdr:row>81</xdr:row>
      <xdr:rowOff>123825</xdr:rowOff>
    </xdr:from>
    <xdr:ext cx="371475" cy="523875"/>
    <xdr:sp>
      <xdr:nvSpPr>
        <xdr:cNvPr id="26" name="Text Box 28"/>
        <xdr:cNvSpPr txBox="1">
          <a:spLocks noChangeArrowheads="1"/>
        </xdr:cNvSpPr>
      </xdr:nvSpPr>
      <xdr:spPr>
        <a:xfrm>
          <a:off x="5991225" y="23317200"/>
          <a:ext cx="371475" cy="523875"/>
        </a:xfrm>
        <a:prstGeom prst="rect">
          <a:avLst/>
        </a:prstGeom>
        <a:noFill/>
        <a:ln w="9525" cmpd="sng">
          <a:noFill/>
        </a:ln>
      </xdr:spPr>
      <xdr:txBody>
        <a:bodyPr vertOverflow="clip" wrap="square"/>
        <a:p>
          <a:pPr algn="l">
            <a:defRPr/>
          </a:pPr>
          <a:r>
            <a:rPr lang="en-US" cap="none" sz="2400" b="0" i="0" u="none" baseline="0">
              <a:solidFill>
                <a:srgbClr val="000000"/>
              </a:solidFill>
              <a:latin typeface="Arial"/>
              <a:ea typeface="Arial"/>
              <a:cs typeface="Arial"/>
            </a:rPr>
            <a:t>b
</a:t>
          </a:r>
        </a:p>
      </xdr:txBody>
    </xdr:sp>
    <xdr:clientData/>
  </xdr:oneCellAnchor>
  <xdr:oneCellAnchor>
    <xdr:from>
      <xdr:col>1</xdr:col>
      <xdr:colOff>1419225</xdr:colOff>
      <xdr:row>81</xdr:row>
      <xdr:rowOff>76200</xdr:rowOff>
    </xdr:from>
    <xdr:ext cx="2628900" cy="657225"/>
    <xdr:sp>
      <xdr:nvSpPr>
        <xdr:cNvPr id="27" name="Text Box 29"/>
        <xdr:cNvSpPr txBox="1">
          <a:spLocks noChangeArrowheads="1"/>
        </xdr:cNvSpPr>
      </xdr:nvSpPr>
      <xdr:spPr>
        <a:xfrm>
          <a:off x="1943100" y="23269575"/>
          <a:ext cx="2628900" cy="657225"/>
        </a:xfrm>
        <a:prstGeom prst="rect">
          <a:avLst/>
        </a:prstGeom>
        <a:noFill/>
        <a:ln w="9525" cmpd="sng">
          <a:noFill/>
        </a:ln>
      </xdr:spPr>
      <xdr:txBody>
        <a:bodyPr vertOverflow="clip" wrap="square"/>
        <a:p>
          <a:pPr algn="l">
            <a:defRPr/>
          </a:pPr>
          <a:r>
            <a:rPr lang="en-US" cap="none" sz="2400" b="0" i="0" u="none" baseline="0">
              <a:solidFill>
                <a:srgbClr val="000000"/>
              </a:solidFill>
              <a:latin typeface="Arial"/>
              <a:ea typeface="Arial"/>
              <a:cs typeface="Arial"/>
            </a:rPr>
            <a:t>Holmquerschnitt</a:t>
          </a:r>
          <a:r>
            <a:rPr lang="en-US" cap="none" sz="3200" b="0" i="0" u="none" baseline="0">
              <a:solidFill>
                <a:srgbClr val="000000"/>
              </a:solidFill>
              <a:latin typeface="Arial"/>
              <a:ea typeface="Arial"/>
              <a:cs typeface="Arial"/>
            </a:rPr>
            <a:t>
</a:t>
          </a:r>
        </a:p>
      </xdr:txBody>
    </xdr:sp>
    <xdr:clientData/>
  </xdr:oneCellAnchor>
  <xdr:twoCellAnchor>
    <xdr:from>
      <xdr:col>0</xdr:col>
      <xdr:colOff>0</xdr:colOff>
      <xdr:row>139</xdr:row>
      <xdr:rowOff>0</xdr:rowOff>
    </xdr:from>
    <xdr:to>
      <xdr:col>0</xdr:col>
      <xdr:colOff>0</xdr:colOff>
      <xdr:row>139</xdr:row>
      <xdr:rowOff>0</xdr:rowOff>
    </xdr:to>
    <xdr:graphicFrame>
      <xdr:nvGraphicFramePr>
        <xdr:cNvPr id="28" name="Chart 30"/>
        <xdr:cNvGraphicFramePr/>
      </xdr:nvGraphicFramePr>
      <xdr:xfrm>
        <a:off x="0" y="36795075"/>
        <a:ext cx="0" cy="0"/>
      </xdr:xfrm>
      <a:graphic>
        <a:graphicData uri="http://schemas.openxmlformats.org/drawingml/2006/chart">
          <c:chart xmlns:c="http://schemas.openxmlformats.org/drawingml/2006/chart" r:id="rId1"/>
        </a:graphicData>
      </a:graphic>
    </xdr:graphicFrame>
    <xdr:clientData/>
  </xdr:twoCellAnchor>
  <xdr:twoCellAnchor>
    <xdr:from>
      <xdr:col>1</xdr:col>
      <xdr:colOff>657225</xdr:colOff>
      <xdr:row>12</xdr:row>
      <xdr:rowOff>85725</xdr:rowOff>
    </xdr:from>
    <xdr:to>
      <xdr:col>1</xdr:col>
      <xdr:colOff>2181225</xdr:colOff>
      <xdr:row>14</xdr:row>
      <xdr:rowOff>161925</xdr:rowOff>
    </xdr:to>
    <xdr:sp>
      <xdr:nvSpPr>
        <xdr:cNvPr id="29" name="Rectangle 32"/>
        <xdr:cNvSpPr>
          <a:spLocks/>
        </xdr:cNvSpPr>
      </xdr:nvSpPr>
      <xdr:spPr>
        <a:xfrm>
          <a:off x="1181100" y="5695950"/>
          <a:ext cx="1524000" cy="685800"/>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2181225</xdr:colOff>
      <xdr:row>12</xdr:row>
      <xdr:rowOff>85725</xdr:rowOff>
    </xdr:from>
    <xdr:to>
      <xdr:col>3</xdr:col>
      <xdr:colOff>0</xdr:colOff>
      <xdr:row>12</xdr:row>
      <xdr:rowOff>152400</xdr:rowOff>
    </xdr:to>
    <xdr:sp>
      <xdr:nvSpPr>
        <xdr:cNvPr id="30" name="Line 33"/>
        <xdr:cNvSpPr>
          <a:spLocks/>
        </xdr:cNvSpPr>
      </xdr:nvSpPr>
      <xdr:spPr>
        <a:xfrm>
          <a:off x="2705100" y="5695950"/>
          <a:ext cx="2276475" cy="6667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2181225</xdr:colOff>
      <xdr:row>14</xdr:row>
      <xdr:rowOff>152400</xdr:rowOff>
    </xdr:from>
    <xdr:to>
      <xdr:col>2</xdr:col>
      <xdr:colOff>638175</xdr:colOff>
      <xdr:row>14</xdr:row>
      <xdr:rowOff>161925</xdr:rowOff>
    </xdr:to>
    <xdr:sp>
      <xdr:nvSpPr>
        <xdr:cNvPr id="31" name="Line 34"/>
        <xdr:cNvSpPr>
          <a:spLocks/>
        </xdr:cNvSpPr>
      </xdr:nvSpPr>
      <xdr:spPr>
        <a:xfrm flipV="1">
          <a:off x="2705100" y="6372225"/>
          <a:ext cx="2066925" cy="952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647700</xdr:colOff>
      <xdr:row>12</xdr:row>
      <xdr:rowOff>142875</xdr:rowOff>
    </xdr:from>
    <xdr:to>
      <xdr:col>2</xdr:col>
      <xdr:colOff>676275</xdr:colOff>
      <xdr:row>14</xdr:row>
      <xdr:rowOff>142875</xdr:rowOff>
    </xdr:to>
    <xdr:sp>
      <xdr:nvSpPr>
        <xdr:cNvPr id="32" name="Line 35"/>
        <xdr:cNvSpPr>
          <a:spLocks/>
        </xdr:cNvSpPr>
      </xdr:nvSpPr>
      <xdr:spPr>
        <a:xfrm>
          <a:off x="4781550" y="5753100"/>
          <a:ext cx="28575" cy="60960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647700</xdr:colOff>
      <xdr:row>12</xdr:row>
      <xdr:rowOff>152400</xdr:rowOff>
    </xdr:from>
    <xdr:to>
      <xdr:col>4</xdr:col>
      <xdr:colOff>9525</xdr:colOff>
      <xdr:row>13</xdr:row>
      <xdr:rowOff>9525</xdr:rowOff>
    </xdr:to>
    <xdr:sp>
      <xdr:nvSpPr>
        <xdr:cNvPr id="33" name="Line 36"/>
        <xdr:cNvSpPr>
          <a:spLocks/>
        </xdr:cNvSpPr>
      </xdr:nvSpPr>
      <xdr:spPr>
        <a:xfrm>
          <a:off x="4781550" y="5762625"/>
          <a:ext cx="1019175" cy="7620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647700</xdr:colOff>
      <xdr:row>14</xdr:row>
      <xdr:rowOff>142875</xdr:rowOff>
    </xdr:from>
    <xdr:to>
      <xdr:col>4</xdr:col>
      <xdr:colOff>9525</xdr:colOff>
      <xdr:row>14</xdr:row>
      <xdr:rowOff>142875</xdr:rowOff>
    </xdr:to>
    <xdr:sp>
      <xdr:nvSpPr>
        <xdr:cNvPr id="34" name="Line 37"/>
        <xdr:cNvSpPr>
          <a:spLocks/>
        </xdr:cNvSpPr>
      </xdr:nvSpPr>
      <xdr:spPr>
        <a:xfrm flipV="1">
          <a:off x="4781550" y="6362700"/>
          <a:ext cx="10191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13</xdr:row>
      <xdr:rowOff>9525</xdr:rowOff>
    </xdr:from>
    <xdr:to>
      <xdr:col>4</xdr:col>
      <xdr:colOff>9525</xdr:colOff>
      <xdr:row>14</xdr:row>
      <xdr:rowOff>123825</xdr:rowOff>
    </xdr:to>
    <xdr:sp>
      <xdr:nvSpPr>
        <xdr:cNvPr id="35" name="Line 38"/>
        <xdr:cNvSpPr>
          <a:spLocks/>
        </xdr:cNvSpPr>
      </xdr:nvSpPr>
      <xdr:spPr>
        <a:xfrm>
          <a:off x="5800725" y="5838825"/>
          <a:ext cx="0" cy="50482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13</xdr:row>
      <xdr:rowOff>9525</xdr:rowOff>
    </xdr:from>
    <xdr:to>
      <xdr:col>5</xdr:col>
      <xdr:colOff>0</xdr:colOff>
      <xdr:row>13</xdr:row>
      <xdr:rowOff>123825</xdr:rowOff>
    </xdr:to>
    <xdr:sp>
      <xdr:nvSpPr>
        <xdr:cNvPr id="36" name="Line 39"/>
        <xdr:cNvSpPr>
          <a:spLocks/>
        </xdr:cNvSpPr>
      </xdr:nvSpPr>
      <xdr:spPr>
        <a:xfrm>
          <a:off x="5800725" y="5838825"/>
          <a:ext cx="714375" cy="11430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14</xdr:row>
      <xdr:rowOff>123825</xdr:rowOff>
    </xdr:from>
    <xdr:to>
      <xdr:col>5</xdr:col>
      <xdr:colOff>9525</xdr:colOff>
      <xdr:row>14</xdr:row>
      <xdr:rowOff>142875</xdr:rowOff>
    </xdr:to>
    <xdr:sp>
      <xdr:nvSpPr>
        <xdr:cNvPr id="37" name="Line 40"/>
        <xdr:cNvSpPr>
          <a:spLocks/>
        </xdr:cNvSpPr>
      </xdr:nvSpPr>
      <xdr:spPr>
        <a:xfrm flipV="1">
          <a:off x="5800725" y="6343650"/>
          <a:ext cx="723900" cy="1905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714375</xdr:colOff>
      <xdr:row>13</xdr:row>
      <xdr:rowOff>304800</xdr:rowOff>
    </xdr:from>
    <xdr:to>
      <xdr:col>5</xdr:col>
      <xdr:colOff>714375</xdr:colOff>
      <xdr:row>14</xdr:row>
      <xdr:rowOff>114300</xdr:rowOff>
    </xdr:to>
    <xdr:sp>
      <xdr:nvSpPr>
        <xdr:cNvPr id="38" name="Line 41"/>
        <xdr:cNvSpPr>
          <a:spLocks/>
        </xdr:cNvSpPr>
      </xdr:nvSpPr>
      <xdr:spPr>
        <a:xfrm>
          <a:off x="7229475" y="6134100"/>
          <a:ext cx="0" cy="20002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676275</xdr:colOff>
      <xdr:row>13</xdr:row>
      <xdr:rowOff>28575</xdr:rowOff>
    </xdr:from>
    <xdr:ext cx="123825" cy="266700"/>
    <xdr:sp>
      <xdr:nvSpPr>
        <xdr:cNvPr id="39" name="Text Box 42"/>
        <xdr:cNvSpPr txBox="1">
          <a:spLocks noChangeArrowheads="1"/>
        </xdr:cNvSpPr>
      </xdr:nvSpPr>
      <xdr:spPr>
        <a:xfrm>
          <a:off x="1200150" y="5857875"/>
          <a:ext cx="123825" cy="266700"/>
        </a:xfrm>
        <a:prstGeom prst="rect">
          <a:avLst/>
        </a:prstGeom>
        <a:noFill/>
        <a:ln w="9525" cmpd="sng">
          <a:noFill/>
        </a:ln>
      </xdr:spPr>
      <xdr:txBody>
        <a:bodyPr vertOverflow="clip" wrap="square" lIns="27432" tIns="22860" rIns="0" bIns="0">
          <a:spAutoFit/>
        </a:bodyPr>
        <a:p>
          <a:pPr algn="l">
            <a:defRPr/>
          </a:pPr>
          <a:r>
            <a:rPr lang="en-US" cap="none" sz="1200" b="0" i="0" u="none" baseline="0">
              <a:solidFill>
                <a:srgbClr val="000000"/>
              </a:solidFill>
              <a:latin typeface="Arial"/>
              <a:ea typeface="Arial"/>
              <a:cs typeface="Arial"/>
            </a:rPr>
            <a:t>t</a:t>
          </a:r>
          <a:r>
            <a:rPr lang="en-US" cap="none" sz="1200" b="0" i="0" u="none" baseline="-25000">
              <a:solidFill>
                <a:srgbClr val="000000"/>
              </a:solidFill>
              <a:latin typeface="Arial"/>
              <a:ea typeface="Arial"/>
              <a:cs typeface="Arial"/>
            </a:rPr>
            <a:t>1</a:t>
          </a:r>
        </a:p>
      </xdr:txBody>
    </xdr:sp>
    <xdr:clientData/>
  </xdr:oneCellAnchor>
  <xdr:oneCellAnchor>
    <xdr:from>
      <xdr:col>1</xdr:col>
      <xdr:colOff>2181225</xdr:colOff>
      <xdr:row>13</xdr:row>
      <xdr:rowOff>47625</xdr:rowOff>
    </xdr:from>
    <xdr:ext cx="123825" cy="266700"/>
    <xdr:sp>
      <xdr:nvSpPr>
        <xdr:cNvPr id="40" name="Text Box 43"/>
        <xdr:cNvSpPr txBox="1">
          <a:spLocks noChangeArrowheads="1"/>
        </xdr:cNvSpPr>
      </xdr:nvSpPr>
      <xdr:spPr>
        <a:xfrm>
          <a:off x="2705100" y="5876925"/>
          <a:ext cx="123825" cy="266700"/>
        </a:xfrm>
        <a:prstGeom prst="rect">
          <a:avLst/>
        </a:prstGeom>
        <a:noFill/>
        <a:ln w="9525" cmpd="sng">
          <a:noFill/>
        </a:ln>
      </xdr:spPr>
      <xdr:txBody>
        <a:bodyPr vertOverflow="clip" wrap="square" lIns="27432" tIns="22860" rIns="0" bIns="0">
          <a:spAutoFit/>
        </a:bodyPr>
        <a:p>
          <a:pPr algn="l">
            <a:defRPr/>
          </a:pPr>
          <a:r>
            <a:rPr lang="en-US" cap="none" sz="1200" b="0" i="0" u="none" baseline="0">
              <a:solidFill>
                <a:srgbClr val="000000"/>
              </a:solidFill>
              <a:latin typeface="Arial"/>
              <a:ea typeface="Arial"/>
              <a:cs typeface="Arial"/>
            </a:rPr>
            <a:t>t</a:t>
          </a:r>
          <a:r>
            <a:rPr lang="en-US" cap="none" sz="1200" b="0" i="0" u="none" baseline="-25000">
              <a:solidFill>
                <a:srgbClr val="000000"/>
              </a:solidFill>
              <a:latin typeface="Arial"/>
              <a:ea typeface="Arial"/>
              <a:cs typeface="Arial"/>
            </a:rPr>
            <a:t>2</a:t>
          </a:r>
        </a:p>
      </xdr:txBody>
    </xdr:sp>
    <xdr:clientData/>
  </xdr:oneCellAnchor>
  <xdr:oneCellAnchor>
    <xdr:from>
      <xdr:col>3</xdr:col>
      <xdr:colOff>19050</xdr:colOff>
      <xdr:row>13</xdr:row>
      <xdr:rowOff>123825</xdr:rowOff>
    </xdr:from>
    <xdr:ext cx="123825" cy="266700"/>
    <xdr:sp>
      <xdr:nvSpPr>
        <xdr:cNvPr id="41" name="Text Box 44"/>
        <xdr:cNvSpPr txBox="1">
          <a:spLocks noChangeArrowheads="1"/>
        </xdr:cNvSpPr>
      </xdr:nvSpPr>
      <xdr:spPr>
        <a:xfrm>
          <a:off x="5000625" y="5953125"/>
          <a:ext cx="123825" cy="266700"/>
        </a:xfrm>
        <a:prstGeom prst="rect">
          <a:avLst/>
        </a:prstGeom>
        <a:noFill/>
        <a:ln w="9525" cmpd="sng">
          <a:noFill/>
        </a:ln>
      </xdr:spPr>
      <xdr:txBody>
        <a:bodyPr vertOverflow="clip" wrap="square" lIns="27432" tIns="22860" rIns="0" bIns="0">
          <a:spAutoFit/>
        </a:bodyPr>
        <a:p>
          <a:pPr algn="l">
            <a:defRPr/>
          </a:pPr>
          <a:r>
            <a:rPr lang="en-US" cap="none" sz="1200" b="0" i="0" u="none" baseline="0">
              <a:solidFill>
                <a:srgbClr val="000000"/>
              </a:solidFill>
              <a:latin typeface="Arial"/>
              <a:ea typeface="Arial"/>
              <a:cs typeface="Arial"/>
            </a:rPr>
            <a:t>t</a:t>
          </a:r>
          <a:r>
            <a:rPr lang="en-US" cap="none" sz="1200" b="0" i="0" u="none" baseline="-25000">
              <a:solidFill>
                <a:srgbClr val="000000"/>
              </a:solidFill>
              <a:latin typeface="Arial"/>
              <a:ea typeface="Arial"/>
              <a:cs typeface="Arial"/>
            </a:rPr>
            <a:t>3</a:t>
          </a:r>
        </a:p>
      </xdr:txBody>
    </xdr:sp>
    <xdr:clientData/>
  </xdr:oneCellAnchor>
  <xdr:oneCellAnchor>
    <xdr:from>
      <xdr:col>4</xdr:col>
      <xdr:colOff>9525</xdr:colOff>
      <xdr:row>13</xdr:row>
      <xdr:rowOff>152400</xdr:rowOff>
    </xdr:from>
    <xdr:ext cx="123825" cy="266700"/>
    <xdr:sp>
      <xdr:nvSpPr>
        <xdr:cNvPr id="42" name="Text Box 45"/>
        <xdr:cNvSpPr txBox="1">
          <a:spLocks noChangeArrowheads="1"/>
        </xdr:cNvSpPr>
      </xdr:nvSpPr>
      <xdr:spPr>
        <a:xfrm>
          <a:off x="5800725" y="5981700"/>
          <a:ext cx="123825" cy="266700"/>
        </a:xfrm>
        <a:prstGeom prst="rect">
          <a:avLst/>
        </a:prstGeom>
        <a:noFill/>
        <a:ln w="9525" cmpd="sng">
          <a:noFill/>
        </a:ln>
      </xdr:spPr>
      <xdr:txBody>
        <a:bodyPr vertOverflow="clip" wrap="square" lIns="27432" tIns="22860" rIns="0" bIns="0">
          <a:spAutoFit/>
        </a:bodyPr>
        <a:p>
          <a:pPr algn="l">
            <a:defRPr/>
          </a:pPr>
          <a:r>
            <a:rPr lang="en-US" cap="none" sz="1200" b="0" i="0" u="none" baseline="0">
              <a:solidFill>
                <a:srgbClr val="000000"/>
              </a:solidFill>
              <a:latin typeface="Arial"/>
              <a:ea typeface="Arial"/>
              <a:cs typeface="Arial"/>
            </a:rPr>
            <a:t>t</a:t>
          </a:r>
          <a:r>
            <a:rPr lang="en-US" cap="none" sz="1200" b="0" i="0" u="none" baseline="-25000">
              <a:solidFill>
                <a:srgbClr val="000000"/>
              </a:solidFill>
              <a:latin typeface="Arial"/>
              <a:ea typeface="Arial"/>
              <a:cs typeface="Arial"/>
            </a:rPr>
            <a:t>4</a:t>
          </a:r>
        </a:p>
      </xdr:txBody>
    </xdr:sp>
    <xdr:clientData/>
  </xdr:oneCellAnchor>
  <xdr:oneCellAnchor>
    <xdr:from>
      <xdr:col>5</xdr:col>
      <xdr:colOff>85725</xdr:colOff>
      <xdr:row>13</xdr:row>
      <xdr:rowOff>180975</xdr:rowOff>
    </xdr:from>
    <xdr:ext cx="123825" cy="266700"/>
    <xdr:sp>
      <xdr:nvSpPr>
        <xdr:cNvPr id="43" name="Text Box 46"/>
        <xdr:cNvSpPr txBox="1">
          <a:spLocks noChangeArrowheads="1"/>
        </xdr:cNvSpPr>
      </xdr:nvSpPr>
      <xdr:spPr>
        <a:xfrm>
          <a:off x="6600825" y="6010275"/>
          <a:ext cx="123825" cy="266700"/>
        </a:xfrm>
        <a:prstGeom prst="rect">
          <a:avLst/>
        </a:prstGeom>
        <a:noFill/>
        <a:ln w="9525" cmpd="sng">
          <a:noFill/>
        </a:ln>
      </xdr:spPr>
      <xdr:txBody>
        <a:bodyPr vertOverflow="clip" wrap="square" lIns="27432" tIns="22860" rIns="0" bIns="0">
          <a:spAutoFit/>
        </a:bodyPr>
        <a:p>
          <a:pPr algn="l">
            <a:defRPr/>
          </a:pPr>
          <a:r>
            <a:rPr lang="en-US" cap="none" sz="1200" b="0" i="0" u="none" baseline="0">
              <a:solidFill>
                <a:srgbClr val="000000"/>
              </a:solidFill>
              <a:latin typeface="Arial"/>
              <a:ea typeface="Arial"/>
              <a:cs typeface="Arial"/>
            </a:rPr>
            <a:t>t</a:t>
          </a:r>
          <a:r>
            <a:rPr lang="en-US" cap="none" sz="1200" b="0" i="0" u="none" baseline="-25000">
              <a:solidFill>
                <a:srgbClr val="000000"/>
              </a:solidFill>
              <a:latin typeface="Arial"/>
              <a:ea typeface="Arial"/>
              <a:cs typeface="Arial"/>
            </a:rPr>
            <a:t>5</a:t>
          </a:r>
        </a:p>
      </xdr:txBody>
    </xdr:sp>
    <xdr:clientData/>
  </xdr:oneCellAnchor>
  <xdr:twoCellAnchor>
    <xdr:from>
      <xdr:col>1</xdr:col>
      <xdr:colOff>657225</xdr:colOff>
      <xdr:row>15</xdr:row>
      <xdr:rowOff>76200</xdr:rowOff>
    </xdr:from>
    <xdr:to>
      <xdr:col>1</xdr:col>
      <xdr:colOff>2190750</xdr:colOff>
      <xdr:row>15</xdr:row>
      <xdr:rowOff>76200</xdr:rowOff>
    </xdr:to>
    <xdr:sp>
      <xdr:nvSpPr>
        <xdr:cNvPr id="44" name="Line 47"/>
        <xdr:cNvSpPr>
          <a:spLocks/>
        </xdr:cNvSpPr>
      </xdr:nvSpPr>
      <xdr:spPr>
        <a:xfrm>
          <a:off x="1181100" y="6505575"/>
          <a:ext cx="1533525" cy="0"/>
        </a:xfrm>
        <a:prstGeom prst="line">
          <a:avLst/>
        </a:prstGeom>
        <a:noFill/>
        <a:ln w="317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657225</xdr:colOff>
      <xdr:row>14</xdr:row>
      <xdr:rowOff>161925</xdr:rowOff>
    </xdr:from>
    <xdr:to>
      <xdr:col>1</xdr:col>
      <xdr:colOff>657225</xdr:colOff>
      <xdr:row>15</xdr:row>
      <xdr:rowOff>142875</xdr:rowOff>
    </xdr:to>
    <xdr:sp>
      <xdr:nvSpPr>
        <xdr:cNvPr id="45" name="Line 48"/>
        <xdr:cNvSpPr>
          <a:spLocks/>
        </xdr:cNvSpPr>
      </xdr:nvSpPr>
      <xdr:spPr>
        <a:xfrm>
          <a:off x="1181100" y="6381750"/>
          <a:ext cx="0" cy="1905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2181225</xdr:colOff>
      <xdr:row>14</xdr:row>
      <xdr:rowOff>161925</xdr:rowOff>
    </xdr:from>
    <xdr:to>
      <xdr:col>1</xdr:col>
      <xdr:colOff>2181225</xdr:colOff>
      <xdr:row>15</xdr:row>
      <xdr:rowOff>152400</xdr:rowOff>
    </xdr:to>
    <xdr:sp>
      <xdr:nvSpPr>
        <xdr:cNvPr id="46" name="Line 49"/>
        <xdr:cNvSpPr>
          <a:spLocks/>
        </xdr:cNvSpPr>
      </xdr:nvSpPr>
      <xdr:spPr>
        <a:xfrm>
          <a:off x="2705100" y="6381750"/>
          <a:ext cx="0" cy="2000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676275</xdr:colOff>
      <xdr:row>14</xdr:row>
      <xdr:rowOff>123825</xdr:rowOff>
    </xdr:from>
    <xdr:to>
      <xdr:col>2</xdr:col>
      <xdr:colOff>676275</xdr:colOff>
      <xdr:row>15</xdr:row>
      <xdr:rowOff>123825</xdr:rowOff>
    </xdr:to>
    <xdr:sp>
      <xdr:nvSpPr>
        <xdr:cNvPr id="47" name="Line 50"/>
        <xdr:cNvSpPr>
          <a:spLocks/>
        </xdr:cNvSpPr>
      </xdr:nvSpPr>
      <xdr:spPr>
        <a:xfrm>
          <a:off x="4810125" y="6343650"/>
          <a:ext cx="0" cy="2095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14</xdr:row>
      <xdr:rowOff>85725</xdr:rowOff>
    </xdr:from>
    <xdr:to>
      <xdr:col>4</xdr:col>
      <xdr:colOff>9525</xdr:colOff>
      <xdr:row>15</xdr:row>
      <xdr:rowOff>123825</xdr:rowOff>
    </xdr:to>
    <xdr:sp>
      <xdr:nvSpPr>
        <xdr:cNvPr id="48" name="Line 51"/>
        <xdr:cNvSpPr>
          <a:spLocks/>
        </xdr:cNvSpPr>
      </xdr:nvSpPr>
      <xdr:spPr>
        <a:xfrm flipH="1">
          <a:off x="5800725" y="6305550"/>
          <a:ext cx="0" cy="2476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14</xdr:row>
      <xdr:rowOff>28575</xdr:rowOff>
    </xdr:from>
    <xdr:to>
      <xdr:col>5</xdr:col>
      <xdr:colOff>9525</xdr:colOff>
      <xdr:row>15</xdr:row>
      <xdr:rowOff>142875</xdr:rowOff>
    </xdr:to>
    <xdr:sp>
      <xdr:nvSpPr>
        <xdr:cNvPr id="49" name="Line 53"/>
        <xdr:cNvSpPr>
          <a:spLocks/>
        </xdr:cNvSpPr>
      </xdr:nvSpPr>
      <xdr:spPr>
        <a:xfrm flipH="1">
          <a:off x="6524625" y="6248400"/>
          <a:ext cx="0" cy="3238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2181225</xdr:colOff>
      <xdr:row>15</xdr:row>
      <xdr:rowOff>85725</xdr:rowOff>
    </xdr:from>
    <xdr:to>
      <xdr:col>2</xdr:col>
      <xdr:colOff>676275</xdr:colOff>
      <xdr:row>15</xdr:row>
      <xdr:rowOff>85725</xdr:rowOff>
    </xdr:to>
    <xdr:sp>
      <xdr:nvSpPr>
        <xdr:cNvPr id="50" name="Line 54"/>
        <xdr:cNvSpPr>
          <a:spLocks/>
        </xdr:cNvSpPr>
      </xdr:nvSpPr>
      <xdr:spPr>
        <a:xfrm>
          <a:off x="2705100" y="6515100"/>
          <a:ext cx="2105025" cy="0"/>
        </a:xfrm>
        <a:prstGeom prst="line">
          <a:avLst/>
        </a:prstGeom>
        <a:noFill/>
        <a:ln w="317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666750</xdr:colOff>
      <xdr:row>15</xdr:row>
      <xdr:rowOff>85725</xdr:rowOff>
    </xdr:from>
    <xdr:to>
      <xdr:col>4</xdr:col>
      <xdr:colOff>9525</xdr:colOff>
      <xdr:row>15</xdr:row>
      <xdr:rowOff>114300</xdr:rowOff>
    </xdr:to>
    <xdr:sp>
      <xdr:nvSpPr>
        <xdr:cNvPr id="51" name="Line 55"/>
        <xdr:cNvSpPr>
          <a:spLocks/>
        </xdr:cNvSpPr>
      </xdr:nvSpPr>
      <xdr:spPr>
        <a:xfrm flipV="1">
          <a:off x="4800600" y="6515100"/>
          <a:ext cx="1000125" cy="28575"/>
        </a:xfrm>
        <a:prstGeom prst="line">
          <a:avLst/>
        </a:prstGeom>
        <a:noFill/>
        <a:ln w="317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15</xdr:row>
      <xdr:rowOff>85725</xdr:rowOff>
    </xdr:from>
    <xdr:to>
      <xdr:col>5</xdr:col>
      <xdr:colOff>9525</xdr:colOff>
      <xdr:row>15</xdr:row>
      <xdr:rowOff>85725</xdr:rowOff>
    </xdr:to>
    <xdr:sp>
      <xdr:nvSpPr>
        <xdr:cNvPr id="52" name="Line 56"/>
        <xdr:cNvSpPr>
          <a:spLocks/>
        </xdr:cNvSpPr>
      </xdr:nvSpPr>
      <xdr:spPr>
        <a:xfrm>
          <a:off x="5800725" y="6515100"/>
          <a:ext cx="723900" cy="0"/>
        </a:xfrm>
        <a:prstGeom prst="line">
          <a:avLst/>
        </a:prstGeom>
        <a:noFill/>
        <a:ln w="317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161925</xdr:colOff>
      <xdr:row>15</xdr:row>
      <xdr:rowOff>161925</xdr:rowOff>
    </xdr:from>
    <xdr:ext cx="114300" cy="266700"/>
    <xdr:sp>
      <xdr:nvSpPr>
        <xdr:cNvPr id="53" name="Text Box 57"/>
        <xdr:cNvSpPr txBox="1">
          <a:spLocks noChangeArrowheads="1"/>
        </xdr:cNvSpPr>
      </xdr:nvSpPr>
      <xdr:spPr>
        <a:xfrm>
          <a:off x="5953125" y="6591300"/>
          <a:ext cx="114300" cy="266700"/>
        </a:xfrm>
        <a:prstGeom prst="rect">
          <a:avLst/>
        </a:prstGeom>
        <a:noFill/>
        <a:ln w="9525" cmpd="sng">
          <a:noFill/>
        </a:ln>
      </xdr:spPr>
      <xdr:txBody>
        <a:bodyPr vertOverflow="clip" wrap="square" lIns="27432" tIns="22860" rIns="0" bIns="0">
          <a:spAutoFit/>
        </a:bodyPr>
        <a:p>
          <a:pPr algn="l">
            <a:defRPr/>
          </a:pPr>
          <a:r>
            <a:rPr lang="en-US" cap="none" sz="1200" b="0" i="0" u="none" baseline="0">
              <a:solidFill>
                <a:srgbClr val="000000"/>
              </a:solidFill>
              <a:latin typeface="Arial"/>
              <a:ea typeface="Arial"/>
              <a:cs typeface="Arial"/>
            </a:rPr>
            <a:t>l</a:t>
          </a:r>
          <a:r>
            <a:rPr lang="en-US" cap="none" sz="1200" b="0" i="0" u="none" baseline="-25000">
              <a:solidFill>
                <a:srgbClr val="000000"/>
              </a:solidFill>
              <a:latin typeface="Arial"/>
              <a:ea typeface="Arial"/>
              <a:cs typeface="Arial"/>
            </a:rPr>
            <a:t>5</a:t>
          </a:r>
        </a:p>
      </xdr:txBody>
    </xdr:sp>
    <xdr:clientData/>
  </xdr:oneCellAnchor>
  <xdr:oneCellAnchor>
    <xdr:from>
      <xdr:col>3</xdr:col>
      <xdr:colOff>304800</xdr:colOff>
      <xdr:row>15</xdr:row>
      <xdr:rowOff>114300</xdr:rowOff>
    </xdr:from>
    <xdr:ext cx="114300" cy="266700"/>
    <xdr:sp>
      <xdr:nvSpPr>
        <xdr:cNvPr id="54" name="Text Box 58"/>
        <xdr:cNvSpPr txBox="1">
          <a:spLocks noChangeArrowheads="1"/>
        </xdr:cNvSpPr>
      </xdr:nvSpPr>
      <xdr:spPr>
        <a:xfrm>
          <a:off x="5286375" y="6543675"/>
          <a:ext cx="114300" cy="266700"/>
        </a:xfrm>
        <a:prstGeom prst="rect">
          <a:avLst/>
        </a:prstGeom>
        <a:noFill/>
        <a:ln w="9525" cmpd="sng">
          <a:noFill/>
        </a:ln>
      </xdr:spPr>
      <xdr:txBody>
        <a:bodyPr vertOverflow="clip" wrap="square" lIns="27432" tIns="22860" rIns="0" bIns="0">
          <a:spAutoFit/>
        </a:bodyPr>
        <a:p>
          <a:pPr algn="l">
            <a:defRPr/>
          </a:pPr>
          <a:r>
            <a:rPr lang="en-US" cap="none" sz="1200" b="0" i="0" u="none" baseline="0">
              <a:solidFill>
                <a:srgbClr val="000000"/>
              </a:solidFill>
              <a:latin typeface="Arial"/>
              <a:ea typeface="Arial"/>
              <a:cs typeface="Arial"/>
            </a:rPr>
            <a:t>l</a:t>
          </a:r>
          <a:r>
            <a:rPr lang="en-US" cap="none" sz="1200" b="0" i="0" u="none" baseline="-25000">
              <a:solidFill>
                <a:srgbClr val="000000"/>
              </a:solidFill>
              <a:latin typeface="Arial"/>
              <a:ea typeface="Arial"/>
              <a:cs typeface="Arial"/>
            </a:rPr>
            <a:t>4</a:t>
          </a:r>
        </a:p>
      </xdr:txBody>
    </xdr:sp>
    <xdr:clientData/>
  </xdr:oneCellAnchor>
  <xdr:oneCellAnchor>
    <xdr:from>
      <xdr:col>1</xdr:col>
      <xdr:colOff>2867025</xdr:colOff>
      <xdr:row>15</xdr:row>
      <xdr:rowOff>28575</xdr:rowOff>
    </xdr:from>
    <xdr:ext cx="114300" cy="266700"/>
    <xdr:sp>
      <xdr:nvSpPr>
        <xdr:cNvPr id="55" name="Text Box 59"/>
        <xdr:cNvSpPr txBox="1">
          <a:spLocks noChangeArrowheads="1"/>
        </xdr:cNvSpPr>
      </xdr:nvSpPr>
      <xdr:spPr>
        <a:xfrm>
          <a:off x="3390900" y="6457950"/>
          <a:ext cx="114300" cy="266700"/>
        </a:xfrm>
        <a:prstGeom prst="rect">
          <a:avLst/>
        </a:prstGeom>
        <a:noFill/>
        <a:ln w="9525" cmpd="sng">
          <a:noFill/>
        </a:ln>
      </xdr:spPr>
      <xdr:txBody>
        <a:bodyPr vertOverflow="clip" wrap="square" lIns="27432" tIns="22860" rIns="0" bIns="0">
          <a:spAutoFit/>
        </a:bodyPr>
        <a:p>
          <a:pPr algn="l">
            <a:defRPr/>
          </a:pPr>
          <a:r>
            <a:rPr lang="en-US" cap="none" sz="1200" b="0" i="0" u="none" baseline="0">
              <a:solidFill>
                <a:srgbClr val="000000"/>
              </a:solidFill>
              <a:latin typeface="Arial"/>
              <a:ea typeface="Arial"/>
              <a:cs typeface="Arial"/>
            </a:rPr>
            <a:t>l</a:t>
          </a:r>
          <a:r>
            <a:rPr lang="en-US" cap="none" sz="1200" b="0" i="0" u="none" baseline="-25000">
              <a:solidFill>
                <a:srgbClr val="000000"/>
              </a:solidFill>
              <a:latin typeface="Arial"/>
              <a:ea typeface="Arial"/>
              <a:cs typeface="Arial"/>
            </a:rPr>
            <a:t>3</a:t>
          </a:r>
        </a:p>
      </xdr:txBody>
    </xdr:sp>
    <xdr:clientData/>
  </xdr:oneCellAnchor>
  <xdr:oneCellAnchor>
    <xdr:from>
      <xdr:col>1</xdr:col>
      <xdr:colOff>1323975</xdr:colOff>
      <xdr:row>15</xdr:row>
      <xdr:rowOff>28575</xdr:rowOff>
    </xdr:from>
    <xdr:ext cx="114300" cy="266700"/>
    <xdr:sp>
      <xdr:nvSpPr>
        <xdr:cNvPr id="56" name="Text Box 60"/>
        <xdr:cNvSpPr txBox="1">
          <a:spLocks noChangeArrowheads="1"/>
        </xdr:cNvSpPr>
      </xdr:nvSpPr>
      <xdr:spPr>
        <a:xfrm>
          <a:off x="1847850" y="6457950"/>
          <a:ext cx="114300" cy="266700"/>
        </a:xfrm>
        <a:prstGeom prst="rect">
          <a:avLst/>
        </a:prstGeom>
        <a:noFill/>
        <a:ln w="9525" cmpd="sng">
          <a:noFill/>
        </a:ln>
      </xdr:spPr>
      <xdr:txBody>
        <a:bodyPr vertOverflow="clip" wrap="square" lIns="27432" tIns="22860" rIns="0" bIns="0">
          <a:spAutoFit/>
        </a:bodyPr>
        <a:p>
          <a:pPr algn="l">
            <a:defRPr/>
          </a:pPr>
          <a:r>
            <a:rPr lang="en-US" cap="none" sz="1200" b="0" i="0" u="none" baseline="0">
              <a:solidFill>
                <a:srgbClr val="000000"/>
              </a:solidFill>
              <a:latin typeface="Arial"/>
              <a:ea typeface="Arial"/>
              <a:cs typeface="Arial"/>
            </a:rPr>
            <a:t>l</a:t>
          </a:r>
          <a:r>
            <a:rPr lang="en-US" cap="none" sz="1200" b="0" i="0" u="none" baseline="-25000">
              <a:solidFill>
                <a:srgbClr val="000000"/>
              </a:solidFill>
              <a:latin typeface="Arial"/>
              <a:ea typeface="Arial"/>
              <a:cs typeface="Arial"/>
            </a:rPr>
            <a:t>2</a:t>
          </a:r>
        </a:p>
      </xdr:txBody>
    </xdr:sp>
    <xdr:clientData/>
  </xdr:oneCellAnchor>
  <xdr:twoCellAnchor>
    <xdr:from>
      <xdr:col>1</xdr:col>
      <xdr:colOff>390525</xdr:colOff>
      <xdr:row>15</xdr:row>
      <xdr:rowOff>76200</xdr:rowOff>
    </xdr:from>
    <xdr:to>
      <xdr:col>1</xdr:col>
      <xdr:colOff>647700</xdr:colOff>
      <xdr:row>15</xdr:row>
      <xdr:rowOff>76200</xdr:rowOff>
    </xdr:to>
    <xdr:sp>
      <xdr:nvSpPr>
        <xdr:cNvPr id="57" name="Line 65"/>
        <xdr:cNvSpPr>
          <a:spLocks/>
        </xdr:cNvSpPr>
      </xdr:nvSpPr>
      <xdr:spPr>
        <a:xfrm flipH="1">
          <a:off x="914400" y="6505575"/>
          <a:ext cx="2571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447675</xdr:colOff>
      <xdr:row>15</xdr:row>
      <xdr:rowOff>76200</xdr:rowOff>
    </xdr:from>
    <xdr:ext cx="114300" cy="266700"/>
    <xdr:sp>
      <xdr:nvSpPr>
        <xdr:cNvPr id="58" name="Text Box 66"/>
        <xdr:cNvSpPr txBox="1">
          <a:spLocks noChangeArrowheads="1"/>
        </xdr:cNvSpPr>
      </xdr:nvSpPr>
      <xdr:spPr>
        <a:xfrm>
          <a:off x="971550" y="6505575"/>
          <a:ext cx="114300" cy="266700"/>
        </a:xfrm>
        <a:prstGeom prst="rect">
          <a:avLst/>
        </a:prstGeom>
        <a:noFill/>
        <a:ln w="9525" cmpd="sng">
          <a:noFill/>
        </a:ln>
      </xdr:spPr>
      <xdr:txBody>
        <a:bodyPr vertOverflow="clip" wrap="square" lIns="27432" tIns="22860" rIns="0" bIns="0">
          <a:spAutoFit/>
        </a:bodyPr>
        <a:p>
          <a:pPr algn="l">
            <a:defRPr/>
          </a:pPr>
          <a:r>
            <a:rPr lang="en-US" cap="none" sz="1200" b="0" i="0" u="none" baseline="0">
              <a:solidFill>
                <a:srgbClr val="000000"/>
              </a:solidFill>
              <a:latin typeface="Arial"/>
              <a:ea typeface="Arial"/>
              <a:cs typeface="Arial"/>
            </a:rPr>
            <a:t>l</a:t>
          </a:r>
          <a:r>
            <a:rPr lang="en-US" cap="none" sz="1200" b="0" i="0" u="none" baseline="-25000">
              <a:solidFill>
                <a:srgbClr val="000000"/>
              </a:solidFill>
              <a:latin typeface="Arial"/>
              <a:ea typeface="Arial"/>
              <a:cs typeface="Arial"/>
            </a:rPr>
            <a:t>1</a:t>
          </a:r>
        </a:p>
      </xdr:txBody>
    </xdr:sp>
    <xdr:clientData/>
  </xdr:oneCellAnchor>
  <xdr:twoCellAnchor>
    <xdr:from>
      <xdr:col>1</xdr:col>
      <xdr:colOff>361950</xdr:colOff>
      <xdr:row>11</xdr:row>
      <xdr:rowOff>504825</xdr:rowOff>
    </xdr:from>
    <xdr:to>
      <xdr:col>1</xdr:col>
      <xdr:colOff>361950</xdr:colOff>
      <xdr:row>15</xdr:row>
      <xdr:rowOff>142875</xdr:rowOff>
    </xdr:to>
    <xdr:sp>
      <xdr:nvSpPr>
        <xdr:cNvPr id="59" name="Line 67"/>
        <xdr:cNvSpPr>
          <a:spLocks/>
        </xdr:cNvSpPr>
      </xdr:nvSpPr>
      <xdr:spPr>
        <a:xfrm flipV="1">
          <a:off x="885825" y="5505450"/>
          <a:ext cx="0" cy="106680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88</xdr:row>
      <xdr:rowOff>9525</xdr:rowOff>
    </xdr:from>
    <xdr:to>
      <xdr:col>3</xdr:col>
      <xdr:colOff>628650</xdr:colOff>
      <xdr:row>93</xdr:row>
      <xdr:rowOff>114300</xdr:rowOff>
    </xdr:to>
    <xdr:sp>
      <xdr:nvSpPr>
        <xdr:cNvPr id="60" name="Rectangle 73"/>
        <xdr:cNvSpPr>
          <a:spLocks/>
        </xdr:cNvSpPr>
      </xdr:nvSpPr>
      <xdr:spPr>
        <a:xfrm>
          <a:off x="5524500" y="24536400"/>
          <a:ext cx="85725" cy="1123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142875</xdr:colOff>
      <xdr:row>88</xdr:row>
      <xdr:rowOff>28575</xdr:rowOff>
    </xdr:from>
    <xdr:to>
      <xdr:col>5</xdr:col>
      <xdr:colOff>247650</xdr:colOff>
      <xdr:row>93</xdr:row>
      <xdr:rowOff>104775</xdr:rowOff>
    </xdr:to>
    <xdr:sp>
      <xdr:nvSpPr>
        <xdr:cNvPr id="61" name="Rectangle 74"/>
        <xdr:cNvSpPr>
          <a:spLocks/>
        </xdr:cNvSpPr>
      </xdr:nvSpPr>
      <xdr:spPr>
        <a:xfrm>
          <a:off x="6657975" y="24555450"/>
          <a:ext cx="104775" cy="1095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666750</xdr:colOff>
      <xdr:row>90</xdr:row>
      <xdr:rowOff>76200</xdr:rowOff>
    </xdr:from>
    <xdr:to>
      <xdr:col>5</xdr:col>
      <xdr:colOff>142875</xdr:colOff>
      <xdr:row>90</xdr:row>
      <xdr:rowOff>76200</xdr:rowOff>
    </xdr:to>
    <xdr:sp>
      <xdr:nvSpPr>
        <xdr:cNvPr id="62" name="Line 75"/>
        <xdr:cNvSpPr>
          <a:spLocks/>
        </xdr:cNvSpPr>
      </xdr:nvSpPr>
      <xdr:spPr>
        <a:xfrm>
          <a:off x="6457950" y="25050750"/>
          <a:ext cx="200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257175</xdr:colOff>
      <xdr:row>90</xdr:row>
      <xdr:rowOff>76200</xdr:rowOff>
    </xdr:from>
    <xdr:to>
      <xdr:col>5</xdr:col>
      <xdr:colOff>533400</xdr:colOff>
      <xdr:row>90</xdr:row>
      <xdr:rowOff>76200</xdr:rowOff>
    </xdr:to>
    <xdr:sp>
      <xdr:nvSpPr>
        <xdr:cNvPr id="63" name="Line 76"/>
        <xdr:cNvSpPr>
          <a:spLocks/>
        </xdr:cNvSpPr>
      </xdr:nvSpPr>
      <xdr:spPr>
        <a:xfrm flipH="1">
          <a:off x="6772275" y="25050750"/>
          <a:ext cx="276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361950</xdr:colOff>
      <xdr:row>88</xdr:row>
      <xdr:rowOff>47625</xdr:rowOff>
    </xdr:from>
    <xdr:ext cx="390525" cy="495300"/>
    <xdr:sp>
      <xdr:nvSpPr>
        <xdr:cNvPr id="64" name="Text Box 77"/>
        <xdr:cNvSpPr txBox="1">
          <a:spLocks noChangeArrowheads="1"/>
        </xdr:cNvSpPr>
      </xdr:nvSpPr>
      <xdr:spPr>
        <a:xfrm>
          <a:off x="6877050" y="24574500"/>
          <a:ext cx="390525" cy="495300"/>
        </a:xfrm>
        <a:prstGeom prst="rect">
          <a:avLst/>
        </a:prstGeom>
        <a:noFill/>
        <a:ln w="9525" cmpd="sng">
          <a:noFill/>
        </a:ln>
      </xdr:spPr>
      <xdr:txBody>
        <a:bodyPr vertOverflow="clip" wrap="square"/>
        <a:p>
          <a:pPr algn="l">
            <a:defRPr/>
          </a:pPr>
          <a:r>
            <a:rPr lang="en-US" cap="none" sz="2400" b="0" i="0" u="none" baseline="0">
              <a:solidFill>
                <a:srgbClr val="000000"/>
              </a:solidFill>
              <a:latin typeface="Arial"/>
              <a:ea typeface="Arial"/>
              <a:cs typeface="Arial"/>
            </a:rPr>
            <a:t>t</a:t>
          </a:r>
          <a:r>
            <a:rPr lang="en-US" cap="none" sz="2400" b="0" i="0" u="none" baseline="-25000">
              <a:solidFill>
                <a:srgbClr val="000000"/>
              </a:solidFill>
              <a:latin typeface="Arial"/>
              <a:ea typeface="Arial"/>
              <a:cs typeface="Arial"/>
            </a:rPr>
            <a:t>1
</a:t>
          </a:r>
          <a:r>
            <a:rPr lang="en-US" cap="none" sz="2400" b="0" i="0" u="none" baseline="0">
              <a:solidFill>
                <a:srgbClr val="000000"/>
              </a:solidFill>
              <a:latin typeface="Arial"/>
              <a:ea typeface="Arial"/>
              <a:cs typeface="Arial"/>
            </a:rPr>
            <a:t>
</a:t>
          </a:r>
          <a:r>
            <a:rPr lang="en-US" cap="none" sz="2400" b="0" i="0" u="none" baseline="0">
              <a:solidFill>
                <a:srgbClr val="000000"/>
              </a:solidFill>
              <a:latin typeface="Arial"/>
              <a:ea typeface="Arial"/>
              <a:cs typeface="Arial"/>
            </a:rPr>
            <a:t>
</a:t>
          </a:r>
        </a:p>
      </xdr:txBody>
    </xdr:sp>
    <xdr:clientData/>
  </xdr:oneCellAnchor>
  <xdr:twoCellAnchor>
    <xdr:from>
      <xdr:col>5</xdr:col>
      <xdr:colOff>9525</xdr:colOff>
      <xdr:row>14</xdr:row>
      <xdr:rowOff>123825</xdr:rowOff>
    </xdr:from>
    <xdr:to>
      <xdr:col>5</xdr:col>
      <xdr:colOff>723900</xdr:colOff>
      <xdr:row>14</xdr:row>
      <xdr:rowOff>133350</xdr:rowOff>
    </xdr:to>
    <xdr:sp>
      <xdr:nvSpPr>
        <xdr:cNvPr id="65" name="Line 83"/>
        <xdr:cNvSpPr>
          <a:spLocks/>
        </xdr:cNvSpPr>
      </xdr:nvSpPr>
      <xdr:spPr>
        <a:xfrm flipV="1">
          <a:off x="6524625" y="6343650"/>
          <a:ext cx="714375" cy="952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6</xdr:col>
      <xdr:colOff>38100</xdr:colOff>
      <xdr:row>14</xdr:row>
      <xdr:rowOff>0</xdr:rowOff>
    </xdr:from>
    <xdr:ext cx="123825" cy="266700"/>
    <xdr:sp>
      <xdr:nvSpPr>
        <xdr:cNvPr id="66" name="Text Box 84"/>
        <xdr:cNvSpPr txBox="1">
          <a:spLocks noChangeArrowheads="1"/>
        </xdr:cNvSpPr>
      </xdr:nvSpPr>
      <xdr:spPr>
        <a:xfrm>
          <a:off x="7296150" y="6219825"/>
          <a:ext cx="123825" cy="266700"/>
        </a:xfrm>
        <a:prstGeom prst="rect">
          <a:avLst/>
        </a:prstGeom>
        <a:noFill/>
        <a:ln w="9525" cmpd="sng">
          <a:noFill/>
        </a:ln>
      </xdr:spPr>
      <xdr:txBody>
        <a:bodyPr vertOverflow="clip" wrap="square" lIns="27432" tIns="22860" rIns="0" bIns="0">
          <a:spAutoFit/>
        </a:bodyPr>
        <a:p>
          <a:pPr algn="l">
            <a:defRPr/>
          </a:pPr>
          <a:r>
            <a:rPr lang="en-US" cap="none" sz="1200" b="0" i="0" u="none" baseline="0">
              <a:solidFill>
                <a:srgbClr val="000000"/>
              </a:solidFill>
              <a:latin typeface="Arial"/>
              <a:ea typeface="Arial"/>
              <a:cs typeface="Arial"/>
            </a:rPr>
            <a:t>t</a:t>
          </a:r>
          <a:r>
            <a:rPr lang="en-US" cap="none" sz="1200" b="0" i="0" u="none" baseline="-25000">
              <a:solidFill>
                <a:srgbClr val="000000"/>
              </a:solidFill>
              <a:latin typeface="Arial"/>
              <a:ea typeface="Arial"/>
              <a:cs typeface="Arial"/>
            </a:rPr>
            <a:t>6</a:t>
          </a:r>
        </a:p>
      </xdr:txBody>
    </xdr:sp>
    <xdr:clientData/>
  </xdr:oneCellAnchor>
  <xdr:twoCellAnchor>
    <xdr:from>
      <xdr:col>5</xdr:col>
      <xdr:colOff>28575</xdr:colOff>
      <xdr:row>13</xdr:row>
      <xdr:rowOff>123825</xdr:rowOff>
    </xdr:from>
    <xdr:to>
      <xdr:col>5</xdr:col>
      <xdr:colOff>723900</xdr:colOff>
      <xdr:row>13</xdr:row>
      <xdr:rowOff>304800</xdr:rowOff>
    </xdr:to>
    <xdr:sp>
      <xdr:nvSpPr>
        <xdr:cNvPr id="67" name="Line 85"/>
        <xdr:cNvSpPr>
          <a:spLocks/>
        </xdr:cNvSpPr>
      </xdr:nvSpPr>
      <xdr:spPr>
        <a:xfrm>
          <a:off x="6543675" y="5953125"/>
          <a:ext cx="695325" cy="18097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13</xdr:row>
      <xdr:rowOff>114300</xdr:rowOff>
    </xdr:from>
    <xdr:to>
      <xdr:col>5</xdr:col>
      <xdr:colOff>28575</xdr:colOff>
      <xdr:row>14</xdr:row>
      <xdr:rowOff>123825</xdr:rowOff>
    </xdr:to>
    <xdr:sp>
      <xdr:nvSpPr>
        <xdr:cNvPr id="68" name="Line 88"/>
        <xdr:cNvSpPr>
          <a:spLocks/>
        </xdr:cNvSpPr>
      </xdr:nvSpPr>
      <xdr:spPr>
        <a:xfrm>
          <a:off x="6524625" y="5943600"/>
          <a:ext cx="19050" cy="40005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266700</xdr:colOff>
      <xdr:row>15</xdr:row>
      <xdr:rowOff>114300</xdr:rowOff>
    </xdr:from>
    <xdr:ext cx="114300" cy="266700"/>
    <xdr:sp>
      <xdr:nvSpPr>
        <xdr:cNvPr id="69" name="Text Box 89"/>
        <xdr:cNvSpPr txBox="1">
          <a:spLocks noChangeArrowheads="1"/>
        </xdr:cNvSpPr>
      </xdr:nvSpPr>
      <xdr:spPr>
        <a:xfrm>
          <a:off x="6781800" y="6543675"/>
          <a:ext cx="114300" cy="266700"/>
        </a:xfrm>
        <a:prstGeom prst="rect">
          <a:avLst/>
        </a:prstGeom>
        <a:noFill/>
        <a:ln w="9525" cmpd="sng">
          <a:noFill/>
        </a:ln>
      </xdr:spPr>
      <xdr:txBody>
        <a:bodyPr vertOverflow="clip" wrap="square" lIns="27432" tIns="22860" rIns="0" bIns="0">
          <a:spAutoFit/>
        </a:bodyPr>
        <a:p>
          <a:pPr algn="l">
            <a:defRPr/>
          </a:pPr>
          <a:r>
            <a:rPr lang="en-US" cap="none" sz="1200" b="0" i="0" u="none" baseline="0">
              <a:solidFill>
                <a:srgbClr val="000000"/>
              </a:solidFill>
              <a:latin typeface="Arial"/>
              <a:ea typeface="Arial"/>
              <a:cs typeface="Arial"/>
            </a:rPr>
            <a:t>l</a:t>
          </a:r>
          <a:r>
            <a:rPr lang="en-US" cap="none" sz="1200" b="0" i="0" u="none" baseline="-25000">
              <a:solidFill>
                <a:srgbClr val="000000"/>
              </a:solidFill>
              <a:latin typeface="Arial"/>
              <a:ea typeface="Arial"/>
              <a:cs typeface="Arial"/>
            </a:rPr>
            <a:t>6</a:t>
          </a:r>
        </a:p>
      </xdr:txBody>
    </xdr:sp>
    <xdr:clientData/>
  </xdr:oneCellAnchor>
  <xdr:twoCellAnchor>
    <xdr:from>
      <xdr:col>5</xdr:col>
      <xdr:colOff>28575</xdr:colOff>
      <xdr:row>15</xdr:row>
      <xdr:rowOff>85725</xdr:rowOff>
    </xdr:from>
    <xdr:to>
      <xdr:col>6</xdr:col>
      <xdr:colOff>0</xdr:colOff>
      <xdr:row>15</xdr:row>
      <xdr:rowOff>85725</xdr:rowOff>
    </xdr:to>
    <xdr:sp>
      <xdr:nvSpPr>
        <xdr:cNvPr id="70" name="Line 90"/>
        <xdr:cNvSpPr>
          <a:spLocks/>
        </xdr:cNvSpPr>
      </xdr:nvSpPr>
      <xdr:spPr>
        <a:xfrm>
          <a:off x="6543675" y="6515100"/>
          <a:ext cx="714375" cy="0"/>
        </a:xfrm>
        <a:prstGeom prst="line">
          <a:avLst/>
        </a:prstGeom>
        <a:noFill/>
        <a:ln w="317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14</xdr:row>
      <xdr:rowOff>66675</xdr:rowOff>
    </xdr:from>
    <xdr:to>
      <xdr:col>6</xdr:col>
      <xdr:colOff>0</xdr:colOff>
      <xdr:row>15</xdr:row>
      <xdr:rowOff>161925</xdr:rowOff>
    </xdr:to>
    <xdr:sp>
      <xdr:nvSpPr>
        <xdr:cNvPr id="71" name="Line 91"/>
        <xdr:cNvSpPr>
          <a:spLocks/>
        </xdr:cNvSpPr>
      </xdr:nvSpPr>
      <xdr:spPr>
        <a:xfrm flipH="1">
          <a:off x="7258050" y="6286500"/>
          <a:ext cx="0" cy="3048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0</xdr:colOff>
      <xdr:row>32</xdr:row>
      <xdr:rowOff>0</xdr:rowOff>
    </xdr:from>
    <xdr:to>
      <xdr:col>12</xdr:col>
      <xdr:colOff>381000</xdr:colOff>
      <xdr:row>46</xdr:row>
      <xdr:rowOff>85725</xdr:rowOff>
    </xdr:to>
    <xdr:pic>
      <xdr:nvPicPr>
        <xdr:cNvPr id="72" name="Picture 92" descr="abfangbogen"/>
        <xdr:cNvPicPr preferRelativeResize="1">
          <a:picLocks noChangeAspect="1"/>
        </xdr:cNvPicPr>
      </xdr:nvPicPr>
      <xdr:blipFill>
        <a:blip r:embed="rId2"/>
        <a:stretch>
          <a:fillRect/>
        </a:stretch>
      </xdr:blipFill>
      <xdr:spPr>
        <a:xfrm>
          <a:off x="8001000" y="11258550"/>
          <a:ext cx="4476750" cy="3543300"/>
        </a:xfrm>
        <a:prstGeom prst="rect">
          <a:avLst/>
        </a:prstGeom>
        <a:noFill/>
        <a:ln w="9525" cmpd="sng">
          <a:noFill/>
        </a:ln>
      </xdr:spPr>
    </xdr:pic>
    <xdr:clientData/>
  </xdr:twoCellAnchor>
  <xdr:twoCellAnchor>
    <xdr:from>
      <xdr:col>2</xdr:col>
      <xdr:colOff>57150</xdr:colOff>
      <xdr:row>88</xdr:row>
      <xdr:rowOff>152400</xdr:rowOff>
    </xdr:from>
    <xdr:to>
      <xdr:col>4</xdr:col>
      <xdr:colOff>285750</xdr:colOff>
      <xdr:row>90</xdr:row>
      <xdr:rowOff>76200</xdr:rowOff>
    </xdr:to>
    <xdr:sp>
      <xdr:nvSpPr>
        <xdr:cNvPr id="73" name="Line 97"/>
        <xdr:cNvSpPr>
          <a:spLocks/>
        </xdr:cNvSpPr>
      </xdr:nvSpPr>
      <xdr:spPr>
        <a:xfrm>
          <a:off x="4191000" y="24679275"/>
          <a:ext cx="1885950" cy="371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381000</xdr:colOff>
      <xdr:row>11</xdr:row>
      <xdr:rowOff>609600</xdr:rowOff>
    </xdr:from>
    <xdr:to>
      <xdr:col>1</xdr:col>
      <xdr:colOff>1152525</xdr:colOff>
      <xdr:row>11</xdr:row>
      <xdr:rowOff>609600</xdr:rowOff>
    </xdr:to>
    <xdr:sp>
      <xdr:nvSpPr>
        <xdr:cNvPr id="74" name="Line 116"/>
        <xdr:cNvSpPr>
          <a:spLocks/>
        </xdr:cNvSpPr>
      </xdr:nvSpPr>
      <xdr:spPr>
        <a:xfrm>
          <a:off x="904875" y="5610225"/>
          <a:ext cx="771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533400</xdr:colOff>
      <xdr:row>11</xdr:row>
      <xdr:rowOff>295275</xdr:rowOff>
    </xdr:from>
    <xdr:ext cx="276225" cy="209550"/>
    <xdr:sp>
      <xdr:nvSpPr>
        <xdr:cNvPr id="75" name="Text Box 117"/>
        <xdr:cNvSpPr txBox="1">
          <a:spLocks noChangeArrowheads="1"/>
        </xdr:cNvSpPr>
      </xdr:nvSpPr>
      <xdr:spPr>
        <a:xfrm>
          <a:off x="1057275" y="5295900"/>
          <a:ext cx="276225" cy="209550"/>
        </a:xfrm>
        <a:prstGeom prst="rect">
          <a:avLst/>
        </a:prstGeom>
        <a:noFill/>
        <a:ln w="9525" cmpd="sng">
          <a:noFill/>
        </a:ln>
      </xdr:spPr>
      <xdr:txBody>
        <a:bodyPr vertOverflow="clip" wrap="square" lIns="27432" tIns="22860" rIns="0" bIns="0">
          <a:spAutoFit/>
        </a:bodyPr>
        <a:p>
          <a:pPr algn="l">
            <a:defRPr/>
          </a:pPr>
          <a:r>
            <a:rPr lang="en-US" cap="none" sz="1200" b="0" i="0" u="none" baseline="0">
              <a:solidFill>
                <a:srgbClr val="000000"/>
              </a:solidFill>
              <a:latin typeface="Arial"/>
              <a:ea typeface="Arial"/>
              <a:cs typeface="Arial"/>
            </a:rPr>
            <a:t>L(x)</a:t>
          </a:r>
        </a:p>
      </xdr:txBody>
    </xdr:sp>
    <xdr:clientData/>
  </xdr:oneCellAnchor>
  <xdr:twoCellAnchor>
    <xdr:from>
      <xdr:col>1</xdr:col>
      <xdr:colOff>723900</xdr:colOff>
      <xdr:row>133</xdr:row>
      <xdr:rowOff>47625</xdr:rowOff>
    </xdr:from>
    <xdr:to>
      <xdr:col>1</xdr:col>
      <xdr:colOff>1428750</xdr:colOff>
      <xdr:row>137</xdr:row>
      <xdr:rowOff>47625</xdr:rowOff>
    </xdr:to>
    <xdr:sp>
      <xdr:nvSpPr>
        <xdr:cNvPr id="76" name="Oval 3"/>
        <xdr:cNvSpPr>
          <a:spLocks/>
        </xdr:cNvSpPr>
      </xdr:nvSpPr>
      <xdr:spPr>
        <a:xfrm>
          <a:off x="1247775" y="35566350"/>
          <a:ext cx="704850" cy="7620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1419225</xdr:colOff>
      <xdr:row>134</xdr:row>
      <xdr:rowOff>76200</xdr:rowOff>
    </xdr:from>
    <xdr:to>
      <xdr:col>4</xdr:col>
      <xdr:colOff>228600</xdr:colOff>
      <xdr:row>134</xdr:row>
      <xdr:rowOff>76200</xdr:rowOff>
    </xdr:to>
    <xdr:sp>
      <xdr:nvSpPr>
        <xdr:cNvPr id="77" name="Gerade Verbindung 5"/>
        <xdr:cNvSpPr>
          <a:spLocks/>
        </xdr:cNvSpPr>
      </xdr:nvSpPr>
      <xdr:spPr>
        <a:xfrm>
          <a:off x="1943100" y="35785425"/>
          <a:ext cx="40767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247650</xdr:colOff>
      <xdr:row>129</xdr:row>
      <xdr:rowOff>152400</xdr:rowOff>
    </xdr:from>
    <xdr:to>
      <xdr:col>4</xdr:col>
      <xdr:colOff>257175</xdr:colOff>
      <xdr:row>134</xdr:row>
      <xdr:rowOff>76200</xdr:rowOff>
    </xdr:to>
    <xdr:sp>
      <xdr:nvSpPr>
        <xdr:cNvPr id="78" name="Gerade Verbindung mit Pfeil 8"/>
        <xdr:cNvSpPr>
          <a:spLocks/>
        </xdr:cNvSpPr>
      </xdr:nvSpPr>
      <xdr:spPr>
        <a:xfrm flipV="1">
          <a:off x="6038850" y="34909125"/>
          <a:ext cx="9525" cy="876300"/>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1038225</xdr:colOff>
      <xdr:row>132</xdr:row>
      <xdr:rowOff>85725</xdr:rowOff>
    </xdr:from>
    <xdr:to>
      <xdr:col>1</xdr:col>
      <xdr:colOff>1076325</xdr:colOff>
      <xdr:row>138</xdr:row>
      <xdr:rowOff>142875</xdr:rowOff>
    </xdr:to>
    <xdr:sp>
      <xdr:nvSpPr>
        <xdr:cNvPr id="79" name="Gerade Verbindung 21"/>
        <xdr:cNvSpPr>
          <a:spLocks/>
        </xdr:cNvSpPr>
      </xdr:nvSpPr>
      <xdr:spPr>
        <a:xfrm flipH="1">
          <a:off x="1562100" y="35413950"/>
          <a:ext cx="38100" cy="1266825"/>
        </a:xfrm>
        <a:prstGeom prst="line">
          <a:avLst/>
        </a:prstGeom>
        <a:noFill/>
        <a:ln w="9525" cmpd="sng">
          <a:solidFill>
            <a:srgbClr val="000000"/>
          </a:solidFill>
          <a:prstDash val="lgDashDot"/>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1085850</xdr:colOff>
      <xdr:row>66</xdr:row>
      <xdr:rowOff>161925</xdr:rowOff>
    </xdr:from>
    <xdr:to>
      <xdr:col>5</xdr:col>
      <xdr:colOff>133350</xdr:colOff>
      <xdr:row>82</xdr:row>
      <xdr:rowOff>180975</xdr:rowOff>
    </xdr:to>
    <xdr:pic>
      <xdr:nvPicPr>
        <xdr:cNvPr id="1" name="Picture 13" descr="Toray3"/>
        <xdr:cNvPicPr preferRelativeResize="1">
          <a:picLocks noChangeAspect="1"/>
        </xdr:cNvPicPr>
      </xdr:nvPicPr>
      <xdr:blipFill>
        <a:blip r:embed="rId1"/>
        <a:stretch>
          <a:fillRect/>
        </a:stretch>
      </xdr:blipFill>
      <xdr:spPr>
        <a:xfrm>
          <a:off x="1085850" y="14249400"/>
          <a:ext cx="3400425" cy="3067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43575"/>
    <xdr:graphicFrame>
      <xdr:nvGraphicFramePr>
        <xdr:cNvPr id="1" name="Shape 1025"/>
        <xdr:cNvGraphicFramePr/>
      </xdr:nvGraphicFramePr>
      <xdr:xfrm>
        <a:off x="0" y="0"/>
        <a:ext cx="9220200" cy="57435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0.9965</cdr:x>
      <cdr:y>1</cdr:y>
    </cdr:to>
    <cdr:graphicFrame>
      <cdr:nvGraphicFramePr>
        <cdr:cNvPr id="1" name="Chart 88"/>
        <cdr:cNvGraphicFramePr/>
      </cdr:nvGraphicFramePr>
      <cdr:xfrm>
        <a:off x="0" y="0"/>
        <a:ext cx="9191625" cy="5743575"/>
      </cdr:xfrm>
      <a:graphic>
        <a:graphicData uri="http://schemas.openxmlformats.org/drawingml/2006/chart">
          <c:chart r:id="rId1"/>
        </a:graphicData>
      </a:graphic>
    </cdr:graphicFrame>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43575"/>
    <xdr:graphicFrame>
      <xdr:nvGraphicFramePr>
        <xdr:cNvPr id="1" name="Shape 1025"/>
        <xdr:cNvGraphicFramePr/>
      </xdr:nvGraphicFramePr>
      <xdr:xfrm>
        <a:off x="0" y="0"/>
        <a:ext cx="9220200" cy="57435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43575"/>
    <xdr:graphicFrame>
      <xdr:nvGraphicFramePr>
        <xdr:cNvPr id="1" name="Shape 1025"/>
        <xdr:cNvGraphicFramePr/>
      </xdr:nvGraphicFramePr>
      <xdr:xfrm>
        <a:off x="0" y="0"/>
        <a:ext cx="9220200" cy="57435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523875</xdr:colOff>
      <xdr:row>39</xdr:row>
      <xdr:rowOff>9525</xdr:rowOff>
    </xdr:from>
    <xdr:to>
      <xdr:col>5</xdr:col>
      <xdr:colOff>247650</xdr:colOff>
      <xdr:row>44</xdr:row>
      <xdr:rowOff>104775</xdr:rowOff>
    </xdr:to>
    <xdr:sp>
      <xdr:nvSpPr>
        <xdr:cNvPr id="1" name="Rectangle 4"/>
        <xdr:cNvSpPr>
          <a:spLocks/>
        </xdr:cNvSpPr>
      </xdr:nvSpPr>
      <xdr:spPr>
        <a:xfrm>
          <a:off x="6372225" y="11268075"/>
          <a:ext cx="2038350" cy="1114425"/>
        </a:xfrm>
        <a:prstGeom prst="rect">
          <a:avLst/>
        </a:prstGeom>
        <a:solidFill>
          <a:srgbClr val="00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523875</xdr:colOff>
      <xdr:row>44</xdr:row>
      <xdr:rowOff>28575</xdr:rowOff>
    </xdr:from>
    <xdr:to>
      <xdr:col>5</xdr:col>
      <xdr:colOff>247650</xdr:colOff>
      <xdr:row>45</xdr:row>
      <xdr:rowOff>142875</xdr:rowOff>
    </xdr:to>
    <xdr:sp>
      <xdr:nvSpPr>
        <xdr:cNvPr id="2" name="Rectangle 5"/>
        <xdr:cNvSpPr>
          <a:spLocks/>
        </xdr:cNvSpPr>
      </xdr:nvSpPr>
      <xdr:spPr>
        <a:xfrm>
          <a:off x="6372225" y="12306300"/>
          <a:ext cx="2038350" cy="3048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523875</xdr:colOff>
      <xdr:row>37</xdr:row>
      <xdr:rowOff>161925</xdr:rowOff>
    </xdr:from>
    <xdr:to>
      <xdr:col>5</xdr:col>
      <xdr:colOff>247650</xdr:colOff>
      <xdr:row>39</xdr:row>
      <xdr:rowOff>66675</xdr:rowOff>
    </xdr:to>
    <xdr:sp>
      <xdr:nvSpPr>
        <xdr:cNvPr id="3" name="Rectangle 6"/>
        <xdr:cNvSpPr>
          <a:spLocks/>
        </xdr:cNvSpPr>
      </xdr:nvSpPr>
      <xdr:spPr>
        <a:xfrm>
          <a:off x="6372225" y="11039475"/>
          <a:ext cx="2038350" cy="2857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76200</xdr:colOff>
      <xdr:row>37</xdr:row>
      <xdr:rowOff>161925</xdr:rowOff>
    </xdr:from>
    <xdr:to>
      <xdr:col>6</xdr:col>
      <xdr:colOff>76200</xdr:colOff>
      <xdr:row>45</xdr:row>
      <xdr:rowOff>152400</xdr:rowOff>
    </xdr:to>
    <xdr:sp>
      <xdr:nvSpPr>
        <xdr:cNvPr id="4" name="Line 9"/>
        <xdr:cNvSpPr>
          <a:spLocks/>
        </xdr:cNvSpPr>
      </xdr:nvSpPr>
      <xdr:spPr>
        <a:xfrm>
          <a:off x="9229725" y="11039475"/>
          <a:ext cx="0" cy="158115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39</xdr:row>
      <xdr:rowOff>104775</xdr:rowOff>
    </xdr:from>
    <xdr:to>
      <xdr:col>3</xdr:col>
      <xdr:colOff>514350</xdr:colOff>
      <xdr:row>39</xdr:row>
      <xdr:rowOff>104775</xdr:rowOff>
    </xdr:to>
    <xdr:sp>
      <xdr:nvSpPr>
        <xdr:cNvPr id="5" name="Line 17"/>
        <xdr:cNvSpPr>
          <a:spLocks/>
        </xdr:cNvSpPr>
      </xdr:nvSpPr>
      <xdr:spPr>
        <a:xfrm flipH="1">
          <a:off x="6029325" y="113633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44</xdr:row>
      <xdr:rowOff>28575</xdr:rowOff>
    </xdr:from>
    <xdr:to>
      <xdr:col>3</xdr:col>
      <xdr:colOff>514350</xdr:colOff>
      <xdr:row>44</xdr:row>
      <xdr:rowOff>28575</xdr:rowOff>
    </xdr:to>
    <xdr:sp>
      <xdr:nvSpPr>
        <xdr:cNvPr id="6" name="Line 18"/>
        <xdr:cNvSpPr>
          <a:spLocks/>
        </xdr:cNvSpPr>
      </xdr:nvSpPr>
      <xdr:spPr>
        <a:xfrm flipH="1">
          <a:off x="6029325" y="1230630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781050</xdr:colOff>
      <xdr:row>40</xdr:row>
      <xdr:rowOff>114300</xdr:rowOff>
    </xdr:from>
    <xdr:ext cx="352425" cy="419100"/>
    <xdr:sp>
      <xdr:nvSpPr>
        <xdr:cNvPr id="7" name="Text Box 23"/>
        <xdr:cNvSpPr txBox="1">
          <a:spLocks noChangeArrowheads="1"/>
        </xdr:cNvSpPr>
      </xdr:nvSpPr>
      <xdr:spPr>
        <a:xfrm>
          <a:off x="5638800" y="11630025"/>
          <a:ext cx="352425" cy="419100"/>
        </a:xfrm>
        <a:prstGeom prst="rect">
          <a:avLst/>
        </a:prstGeom>
        <a:noFill/>
        <a:ln w="9525" cmpd="sng">
          <a:noFill/>
        </a:ln>
      </xdr:spPr>
      <xdr:txBody>
        <a:bodyPr vertOverflow="clip" wrap="square"/>
        <a:p>
          <a:pPr algn="l">
            <a:defRPr/>
          </a:pPr>
          <a:r>
            <a:rPr lang="en-US" cap="none" sz="2400" b="0" i="0" u="none" baseline="0">
              <a:solidFill>
                <a:srgbClr val="000000"/>
              </a:solidFill>
              <a:latin typeface="Arial"/>
              <a:ea typeface="Arial"/>
              <a:cs typeface="Arial"/>
            </a:rPr>
            <a:t>h
</a:t>
          </a:r>
        </a:p>
      </xdr:txBody>
    </xdr:sp>
    <xdr:clientData/>
  </xdr:oneCellAnchor>
  <xdr:oneCellAnchor>
    <xdr:from>
      <xdr:col>6</xdr:col>
      <xdr:colOff>114300</xdr:colOff>
      <xdr:row>39</xdr:row>
      <xdr:rowOff>247650</xdr:rowOff>
    </xdr:from>
    <xdr:ext cx="409575" cy="647700"/>
    <xdr:sp>
      <xdr:nvSpPr>
        <xdr:cNvPr id="8" name="Text Box 24"/>
        <xdr:cNvSpPr txBox="1">
          <a:spLocks noChangeArrowheads="1"/>
        </xdr:cNvSpPr>
      </xdr:nvSpPr>
      <xdr:spPr>
        <a:xfrm>
          <a:off x="9267825" y="11506200"/>
          <a:ext cx="409575" cy="647700"/>
        </a:xfrm>
        <a:prstGeom prst="rect">
          <a:avLst/>
        </a:prstGeom>
        <a:noFill/>
        <a:ln w="9525" cmpd="sng">
          <a:noFill/>
        </a:ln>
      </xdr:spPr>
      <xdr:txBody>
        <a:bodyPr vertOverflow="clip" wrap="square">
          <a:spAutoFit/>
        </a:bodyPr>
        <a:p>
          <a:pPr algn="l">
            <a:defRPr/>
          </a:pPr>
          <a:r>
            <a:rPr lang="en-US" cap="none" sz="2400" b="0" i="0" u="none" baseline="0">
              <a:solidFill>
                <a:srgbClr val="000000"/>
              </a:solidFill>
              <a:latin typeface="Arial"/>
              <a:ea typeface="Arial"/>
              <a:cs typeface="Arial"/>
            </a:rPr>
            <a:t>H
</a:t>
          </a:r>
        </a:p>
      </xdr:txBody>
    </xdr:sp>
    <xdr:clientData/>
  </xdr:oneCellAnchor>
  <xdr:twoCellAnchor>
    <xdr:from>
      <xdr:col>3</xdr:col>
      <xdr:colOff>523875</xdr:colOff>
      <xdr:row>34</xdr:row>
      <xdr:rowOff>47625</xdr:rowOff>
    </xdr:from>
    <xdr:to>
      <xdr:col>3</xdr:col>
      <xdr:colOff>523875</xdr:colOff>
      <xdr:row>37</xdr:row>
      <xdr:rowOff>161925</xdr:rowOff>
    </xdr:to>
    <xdr:sp>
      <xdr:nvSpPr>
        <xdr:cNvPr id="9" name="Line 25"/>
        <xdr:cNvSpPr>
          <a:spLocks/>
        </xdr:cNvSpPr>
      </xdr:nvSpPr>
      <xdr:spPr>
        <a:xfrm flipV="1">
          <a:off x="6372225" y="10353675"/>
          <a:ext cx="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34</xdr:row>
      <xdr:rowOff>66675</xdr:rowOff>
    </xdr:from>
    <xdr:to>
      <xdr:col>5</xdr:col>
      <xdr:colOff>247650</xdr:colOff>
      <xdr:row>37</xdr:row>
      <xdr:rowOff>161925</xdr:rowOff>
    </xdr:to>
    <xdr:sp>
      <xdr:nvSpPr>
        <xdr:cNvPr id="10" name="Line 26"/>
        <xdr:cNvSpPr>
          <a:spLocks/>
        </xdr:cNvSpPr>
      </xdr:nvSpPr>
      <xdr:spPr>
        <a:xfrm flipV="1">
          <a:off x="8410575" y="10372725"/>
          <a:ext cx="0"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523875</xdr:colOff>
      <xdr:row>34</xdr:row>
      <xdr:rowOff>142875</xdr:rowOff>
    </xdr:from>
    <xdr:to>
      <xdr:col>5</xdr:col>
      <xdr:colOff>247650</xdr:colOff>
      <xdr:row>34</xdr:row>
      <xdr:rowOff>142875</xdr:rowOff>
    </xdr:to>
    <xdr:sp>
      <xdr:nvSpPr>
        <xdr:cNvPr id="11" name="Line 27"/>
        <xdr:cNvSpPr>
          <a:spLocks/>
        </xdr:cNvSpPr>
      </xdr:nvSpPr>
      <xdr:spPr>
        <a:xfrm flipV="1">
          <a:off x="6372225" y="10448925"/>
          <a:ext cx="20383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209550</xdr:colOff>
      <xdr:row>32</xdr:row>
      <xdr:rowOff>142875</xdr:rowOff>
    </xdr:from>
    <xdr:ext cx="361950" cy="504825"/>
    <xdr:sp>
      <xdr:nvSpPr>
        <xdr:cNvPr id="12" name="Text Box 28"/>
        <xdr:cNvSpPr txBox="1">
          <a:spLocks noChangeArrowheads="1"/>
        </xdr:cNvSpPr>
      </xdr:nvSpPr>
      <xdr:spPr>
        <a:xfrm>
          <a:off x="7400925" y="10067925"/>
          <a:ext cx="361950" cy="504825"/>
        </a:xfrm>
        <a:prstGeom prst="rect">
          <a:avLst/>
        </a:prstGeom>
        <a:noFill/>
        <a:ln w="9525" cmpd="sng">
          <a:noFill/>
        </a:ln>
      </xdr:spPr>
      <xdr:txBody>
        <a:bodyPr vertOverflow="clip" wrap="square"/>
        <a:p>
          <a:pPr algn="l">
            <a:defRPr/>
          </a:pPr>
          <a:r>
            <a:rPr lang="en-US" cap="none" sz="2400" b="0" i="0" u="none" baseline="0">
              <a:solidFill>
                <a:srgbClr val="000000"/>
              </a:solidFill>
              <a:latin typeface="Arial"/>
              <a:ea typeface="Arial"/>
              <a:cs typeface="Arial"/>
            </a:rPr>
            <a:t>B
</a:t>
          </a:r>
        </a:p>
      </xdr:txBody>
    </xdr:sp>
    <xdr:clientData/>
  </xdr:oneCellAnchor>
  <xdr:oneCellAnchor>
    <xdr:from>
      <xdr:col>1</xdr:col>
      <xdr:colOff>838200</xdr:colOff>
      <xdr:row>29</xdr:row>
      <xdr:rowOff>152400</xdr:rowOff>
    </xdr:from>
    <xdr:ext cx="4648200" cy="657225"/>
    <xdr:sp>
      <xdr:nvSpPr>
        <xdr:cNvPr id="13" name="Text Box 29"/>
        <xdr:cNvSpPr txBox="1">
          <a:spLocks noChangeArrowheads="1"/>
        </xdr:cNvSpPr>
      </xdr:nvSpPr>
      <xdr:spPr>
        <a:xfrm>
          <a:off x="4438650" y="9296400"/>
          <a:ext cx="4648200" cy="657225"/>
        </a:xfrm>
        <a:prstGeom prst="rect">
          <a:avLst/>
        </a:prstGeom>
        <a:noFill/>
        <a:ln w="9525" cmpd="sng">
          <a:noFill/>
        </a:ln>
      </xdr:spPr>
      <xdr:txBody>
        <a:bodyPr vertOverflow="clip" wrap="square"/>
        <a:p>
          <a:pPr algn="l">
            <a:defRPr/>
          </a:pPr>
          <a:r>
            <a:rPr lang="en-US" cap="none" sz="2400" b="0" i="0" u="none" baseline="0">
              <a:solidFill>
                <a:srgbClr val="000000"/>
              </a:solidFill>
              <a:latin typeface="Arial"/>
              <a:ea typeface="Arial"/>
              <a:cs typeface="Arial"/>
            </a:rPr>
            <a:t>Verbinder mit Stützstoffeinlagen</a:t>
          </a:r>
          <a:r>
            <a:rPr lang="en-US" cap="none" sz="3200" b="0" i="0" u="none" baseline="0">
              <a:solidFill>
                <a:srgbClr val="000000"/>
              </a:solidFill>
              <a:latin typeface="Arial"/>
              <a:ea typeface="Arial"/>
              <a:cs typeface="Arial"/>
            </a:rPr>
            <a:t>
</a:t>
          </a:r>
        </a:p>
      </xdr:txBody>
    </xdr:sp>
    <xdr:clientData/>
  </xdr:oneCellAnchor>
  <xdr:twoCellAnchor>
    <xdr:from>
      <xdr:col>3</xdr:col>
      <xdr:colOff>523875</xdr:colOff>
      <xdr:row>39</xdr:row>
      <xdr:rowOff>9525</xdr:rowOff>
    </xdr:from>
    <xdr:to>
      <xdr:col>3</xdr:col>
      <xdr:colOff>752475</xdr:colOff>
      <xdr:row>44</xdr:row>
      <xdr:rowOff>114300</xdr:rowOff>
    </xdr:to>
    <xdr:sp>
      <xdr:nvSpPr>
        <xdr:cNvPr id="14" name="Rectangle 73"/>
        <xdr:cNvSpPr>
          <a:spLocks/>
        </xdr:cNvSpPr>
      </xdr:nvSpPr>
      <xdr:spPr>
        <a:xfrm>
          <a:off x="6372225" y="11268075"/>
          <a:ext cx="228600" cy="11239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39</xdr:row>
      <xdr:rowOff>28575</xdr:rowOff>
    </xdr:from>
    <xdr:to>
      <xdr:col>5</xdr:col>
      <xdr:colOff>247650</xdr:colOff>
      <xdr:row>44</xdr:row>
      <xdr:rowOff>104775</xdr:rowOff>
    </xdr:to>
    <xdr:sp>
      <xdr:nvSpPr>
        <xdr:cNvPr id="15" name="Rectangle 74"/>
        <xdr:cNvSpPr>
          <a:spLocks/>
        </xdr:cNvSpPr>
      </xdr:nvSpPr>
      <xdr:spPr>
        <a:xfrm>
          <a:off x="8201025" y="11287125"/>
          <a:ext cx="209550" cy="10953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39</xdr:row>
      <xdr:rowOff>152400</xdr:rowOff>
    </xdr:from>
    <xdr:to>
      <xdr:col>4</xdr:col>
      <xdr:colOff>285750</xdr:colOff>
      <xdr:row>41</xdr:row>
      <xdr:rowOff>76200</xdr:rowOff>
    </xdr:to>
    <xdr:sp>
      <xdr:nvSpPr>
        <xdr:cNvPr id="16" name="Line 97"/>
        <xdr:cNvSpPr>
          <a:spLocks/>
        </xdr:cNvSpPr>
      </xdr:nvSpPr>
      <xdr:spPr>
        <a:xfrm>
          <a:off x="4914900" y="11410950"/>
          <a:ext cx="2562225" cy="371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37</xdr:row>
      <xdr:rowOff>161925</xdr:rowOff>
    </xdr:from>
    <xdr:to>
      <xdr:col>6</xdr:col>
      <xdr:colOff>209550</xdr:colOff>
      <xdr:row>37</xdr:row>
      <xdr:rowOff>161925</xdr:rowOff>
    </xdr:to>
    <xdr:sp>
      <xdr:nvSpPr>
        <xdr:cNvPr id="17" name="Gerade Verbindung 35"/>
        <xdr:cNvSpPr>
          <a:spLocks/>
        </xdr:cNvSpPr>
      </xdr:nvSpPr>
      <xdr:spPr>
        <a:xfrm rot="16200000" flipH="1">
          <a:off x="8410575" y="11039475"/>
          <a:ext cx="952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238125</xdr:colOff>
      <xdr:row>45</xdr:row>
      <xdr:rowOff>142875</xdr:rowOff>
    </xdr:from>
    <xdr:to>
      <xdr:col>6</xdr:col>
      <xdr:colOff>209550</xdr:colOff>
      <xdr:row>45</xdr:row>
      <xdr:rowOff>142875</xdr:rowOff>
    </xdr:to>
    <xdr:sp>
      <xdr:nvSpPr>
        <xdr:cNvPr id="18" name="Gerade Verbindung 38"/>
        <xdr:cNvSpPr>
          <a:spLocks/>
        </xdr:cNvSpPr>
      </xdr:nvSpPr>
      <xdr:spPr>
        <a:xfrm rot="16200000" flipH="1">
          <a:off x="8401050" y="12611100"/>
          <a:ext cx="962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180975</xdr:colOff>
      <xdr:row>39</xdr:row>
      <xdr:rowOff>104775</xdr:rowOff>
    </xdr:from>
    <xdr:to>
      <xdr:col>3</xdr:col>
      <xdr:colOff>180975</xdr:colOff>
      <xdr:row>44</xdr:row>
      <xdr:rowOff>28575</xdr:rowOff>
    </xdr:to>
    <xdr:sp>
      <xdr:nvSpPr>
        <xdr:cNvPr id="19" name="Gerade Verbindung mit Pfeil 40"/>
        <xdr:cNvSpPr>
          <a:spLocks/>
        </xdr:cNvSpPr>
      </xdr:nvSpPr>
      <xdr:spPr>
        <a:xfrm rot="16200000" flipH="1">
          <a:off x="6029325" y="11363325"/>
          <a:ext cx="0" cy="942975"/>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771525</xdr:colOff>
      <xdr:row>44</xdr:row>
      <xdr:rowOff>28575</xdr:rowOff>
    </xdr:from>
    <xdr:to>
      <xdr:col>3</xdr:col>
      <xdr:colOff>771525</xdr:colOff>
      <xdr:row>49</xdr:row>
      <xdr:rowOff>28575</xdr:rowOff>
    </xdr:to>
    <xdr:sp>
      <xdr:nvSpPr>
        <xdr:cNvPr id="20" name="Gerade Verbindung 43"/>
        <xdr:cNvSpPr>
          <a:spLocks/>
        </xdr:cNvSpPr>
      </xdr:nvSpPr>
      <xdr:spPr>
        <a:xfrm rot="16200000" flipH="1">
          <a:off x="6619875" y="12306300"/>
          <a:ext cx="0" cy="952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28575</xdr:colOff>
      <xdr:row>44</xdr:row>
      <xdr:rowOff>28575</xdr:rowOff>
    </xdr:from>
    <xdr:to>
      <xdr:col>5</xdr:col>
      <xdr:colOff>38100</xdr:colOff>
      <xdr:row>49</xdr:row>
      <xdr:rowOff>28575</xdr:rowOff>
    </xdr:to>
    <xdr:sp>
      <xdr:nvSpPr>
        <xdr:cNvPr id="21" name="Gerade Verbindung 45"/>
        <xdr:cNvSpPr>
          <a:spLocks/>
        </xdr:cNvSpPr>
      </xdr:nvSpPr>
      <xdr:spPr>
        <a:xfrm rot="16200000" flipH="1">
          <a:off x="8191500" y="12306300"/>
          <a:ext cx="9525" cy="952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771525</xdr:colOff>
      <xdr:row>49</xdr:row>
      <xdr:rowOff>9525</xdr:rowOff>
    </xdr:from>
    <xdr:to>
      <xdr:col>5</xdr:col>
      <xdr:colOff>38100</xdr:colOff>
      <xdr:row>49</xdr:row>
      <xdr:rowOff>9525</xdr:rowOff>
    </xdr:to>
    <xdr:sp>
      <xdr:nvSpPr>
        <xdr:cNvPr id="22" name="Gerade Verbindung mit Pfeil 47"/>
        <xdr:cNvSpPr>
          <a:spLocks/>
        </xdr:cNvSpPr>
      </xdr:nvSpPr>
      <xdr:spPr>
        <a:xfrm>
          <a:off x="6619875" y="13239750"/>
          <a:ext cx="1581150"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4</xdr:col>
      <xdr:colOff>0</xdr:colOff>
      <xdr:row>49</xdr:row>
      <xdr:rowOff>66675</xdr:rowOff>
    </xdr:from>
    <xdr:ext cx="371475" cy="504825"/>
    <xdr:sp>
      <xdr:nvSpPr>
        <xdr:cNvPr id="23" name="Text Box 28"/>
        <xdr:cNvSpPr txBox="1">
          <a:spLocks noChangeArrowheads="1"/>
        </xdr:cNvSpPr>
      </xdr:nvSpPr>
      <xdr:spPr>
        <a:xfrm>
          <a:off x="7191375" y="13296900"/>
          <a:ext cx="371475" cy="504825"/>
        </a:xfrm>
        <a:prstGeom prst="rect">
          <a:avLst/>
        </a:prstGeom>
        <a:noFill/>
        <a:ln w="9525" cmpd="sng">
          <a:noFill/>
        </a:ln>
      </xdr:spPr>
      <xdr:txBody>
        <a:bodyPr vertOverflow="clip" wrap="square"/>
        <a:p>
          <a:pPr algn="l">
            <a:defRPr/>
          </a:pPr>
          <a:r>
            <a:rPr lang="en-US" cap="none" sz="2400" b="0" i="0" u="none" baseline="0">
              <a:solidFill>
                <a:srgbClr val="000000"/>
              </a:solidFill>
              <a:latin typeface="Arial"/>
              <a:ea typeface="Arial"/>
              <a:cs typeface="Arial"/>
            </a:rPr>
            <a:t>b
</a:t>
          </a:r>
        </a:p>
      </xdr:txBody>
    </xdr:sp>
    <xdr:clientData/>
  </xdr:oneCellAnchor>
  <xdr:oneCellAnchor>
    <xdr:from>
      <xdr:col>7</xdr:col>
      <xdr:colOff>104775</xdr:colOff>
      <xdr:row>38</xdr:row>
      <xdr:rowOff>114300</xdr:rowOff>
    </xdr:from>
    <xdr:ext cx="9086850" cy="1219200"/>
    <xdr:sp>
      <xdr:nvSpPr>
        <xdr:cNvPr id="24" name="Textfeld 24"/>
        <xdr:cNvSpPr txBox="1">
          <a:spLocks noChangeArrowheads="1"/>
        </xdr:cNvSpPr>
      </xdr:nvSpPr>
      <xdr:spPr>
        <a:xfrm>
          <a:off x="10248900" y="11182350"/>
          <a:ext cx="9086850" cy="1219200"/>
        </a:xfrm>
        <a:prstGeom prst="rect">
          <a:avLst/>
        </a:prstGeom>
        <a:noFill/>
        <a:ln w="9525" cmpd="sng">
          <a:noFill/>
        </a:ln>
      </xdr:spPr>
      <xdr:txBody>
        <a:bodyPr vertOverflow="clip" wrap="square">
          <a:spAutoFit/>
        </a:bodyPr>
        <a:p>
          <a:pPr algn="l">
            <a:defRPr/>
          </a:pPr>
          <a:r>
            <a:rPr lang="en-US" cap="none" sz="1600" b="1" i="0" u="none" baseline="0">
              <a:solidFill>
                <a:srgbClr val="000000"/>
              </a:solidFill>
              <a:latin typeface="Calibri"/>
              <a:ea typeface="Calibri"/>
              <a:cs typeface="Calibri"/>
            </a:rPr>
            <a:t>Vorgaben für die Verbinderrechnung mit Stützstoffeinlage:
</a:t>
          </a:r>
          <a:r>
            <a:rPr lang="en-US" cap="none" sz="1400" b="0" i="0" u="none" baseline="0">
              <a:solidFill>
                <a:srgbClr val="000000"/>
              </a:solidFill>
              <a:latin typeface="Calibri"/>
              <a:ea typeface="Calibri"/>
              <a:cs typeface="Calibri"/>
            </a:rPr>
            <a:t>- Mbmax aus der Rechnung der ersten Seite
</a:t>
          </a:r>
          <a:r>
            <a:rPr lang="en-US" cap="none" sz="1400" b="0" i="0" u="none" baseline="0">
              <a:solidFill>
                <a:srgbClr val="000000"/>
              </a:solidFill>
              <a:latin typeface="Calibri"/>
              <a:ea typeface="Calibri"/>
              <a:cs typeface="Calibri"/>
            </a:rPr>
            <a:t>- Sigma für C-Fasern mit 800N/mm² eingesetzt
</a:t>
          </a:r>
          <a:r>
            <a:rPr lang="en-US" cap="none" sz="1400" b="0" i="0" u="none" baseline="0">
              <a:solidFill>
                <a:srgbClr val="000000"/>
              </a:solidFill>
              <a:latin typeface="Calibri"/>
              <a:ea typeface="Calibri"/>
              <a:cs typeface="Calibri"/>
            </a:rPr>
            <a:t>- Breite (B) des Verbinders kann gewählt werden
</a:t>
          </a:r>
          <a:r>
            <a:rPr lang="en-US" cap="none" sz="1400" b="0" i="0" u="none" baseline="0">
              <a:solidFill>
                <a:srgbClr val="000000"/>
              </a:solidFill>
              <a:latin typeface="Calibri"/>
              <a:ea typeface="Calibri"/>
              <a:cs typeface="Calibri"/>
            </a:rPr>
            <a:t>- Maximale Höhe (H) des Verbinders wird aus der Rechnung der ersten Seite genommen und um 3mm reduziert für Hüllen</a:t>
          </a:r>
        </a:p>
      </xdr:txBody>
    </xdr:sp>
    <xdr:clientData/>
  </xdr:oneCellAnchor>
  <xdr:twoCellAnchor>
    <xdr:from>
      <xdr:col>4</xdr:col>
      <xdr:colOff>200025</xdr:colOff>
      <xdr:row>36</xdr:row>
      <xdr:rowOff>9525</xdr:rowOff>
    </xdr:from>
    <xdr:to>
      <xdr:col>4</xdr:col>
      <xdr:colOff>200025</xdr:colOff>
      <xdr:row>37</xdr:row>
      <xdr:rowOff>161925</xdr:rowOff>
    </xdr:to>
    <xdr:sp>
      <xdr:nvSpPr>
        <xdr:cNvPr id="25" name="Gerade Verbindung mit Pfeil 28"/>
        <xdr:cNvSpPr>
          <a:spLocks/>
        </xdr:cNvSpPr>
      </xdr:nvSpPr>
      <xdr:spPr>
        <a:xfrm rot="16200000" flipH="1">
          <a:off x="7391400" y="10696575"/>
          <a:ext cx="0" cy="3429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200025</xdr:colOff>
      <xdr:row>39</xdr:row>
      <xdr:rowOff>66675</xdr:rowOff>
    </xdr:from>
    <xdr:to>
      <xdr:col>4</xdr:col>
      <xdr:colOff>200025</xdr:colOff>
      <xdr:row>40</xdr:row>
      <xdr:rowOff>104775</xdr:rowOff>
    </xdr:to>
    <xdr:sp>
      <xdr:nvSpPr>
        <xdr:cNvPr id="26" name="Gerade Verbindung mit Pfeil 37"/>
        <xdr:cNvSpPr>
          <a:spLocks/>
        </xdr:cNvSpPr>
      </xdr:nvSpPr>
      <xdr:spPr>
        <a:xfrm rot="5400000" flipH="1" flipV="1">
          <a:off x="7391400" y="11325225"/>
          <a:ext cx="0" cy="2952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4</xdr:col>
      <xdr:colOff>257175</xdr:colOff>
      <xdr:row>35</xdr:row>
      <xdr:rowOff>152400</xdr:rowOff>
    </xdr:from>
    <xdr:ext cx="352425" cy="523875"/>
    <xdr:sp>
      <xdr:nvSpPr>
        <xdr:cNvPr id="27" name="Text Box 28"/>
        <xdr:cNvSpPr txBox="1">
          <a:spLocks noChangeArrowheads="1"/>
        </xdr:cNvSpPr>
      </xdr:nvSpPr>
      <xdr:spPr>
        <a:xfrm>
          <a:off x="7448550" y="10648950"/>
          <a:ext cx="352425" cy="523875"/>
        </a:xfrm>
        <a:prstGeom prst="rect">
          <a:avLst/>
        </a:prstGeom>
        <a:noFill/>
        <a:ln w="9525" cmpd="sng">
          <a:noFill/>
        </a:ln>
      </xdr:spPr>
      <xdr:txBody>
        <a:bodyPr vertOverflow="clip" wrap="square"/>
        <a:p>
          <a:pPr algn="l">
            <a:defRPr/>
          </a:pPr>
          <a:r>
            <a:rPr lang="en-US" cap="none" sz="2400" b="0" i="0" u="none" baseline="0">
              <a:solidFill>
                <a:srgbClr val="000000"/>
              </a:solidFill>
              <a:latin typeface="Arial"/>
              <a:ea typeface="Arial"/>
              <a:cs typeface="Arial"/>
            </a:rPr>
            <a:t>c
</a:t>
          </a:r>
        </a:p>
      </xdr:txBody>
    </xdr:sp>
    <xdr:clientData/>
  </xdr:one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oleObject" Target="../embeddings/oleObject_0_2.bin" /><Relationship Id="rId5" Type="http://schemas.openxmlformats.org/officeDocument/2006/relationships/vmlDrawing" Target="../drawings/vmlDrawing1.vml" /><Relationship Id="rId6"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4.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Tabelle1">
    <pageSetUpPr fitToPage="1"/>
  </sheetPr>
  <dimension ref="B1:X133"/>
  <sheetViews>
    <sheetView showGridLines="0" tabSelected="1" zoomScalePageLayoutView="0" workbookViewId="0" topLeftCell="A16">
      <selection activeCell="C66" sqref="C66"/>
    </sheetView>
  </sheetViews>
  <sheetFormatPr defaultColWidth="11.5546875" defaultRowHeight="15"/>
  <cols>
    <col min="1" max="1" width="6.10546875" style="0" customWidth="1"/>
    <col min="2" max="2" width="42.10546875" style="0" customWidth="1"/>
    <col min="3" max="3" width="9.88671875" style="0" customWidth="1"/>
    <col min="4" max="4" width="9.4453125" style="0" customWidth="1"/>
    <col min="5" max="5" width="8.4453125" style="0" customWidth="1"/>
    <col min="6" max="7" width="8.6640625" style="0" customWidth="1"/>
    <col min="8" max="8" width="11.4453125" style="0" customWidth="1"/>
    <col min="9" max="9" width="9.10546875" style="0" customWidth="1"/>
    <col min="10" max="10" width="11.6640625" style="0" customWidth="1"/>
    <col min="11" max="11" width="8.6640625" style="0" customWidth="1"/>
    <col min="12" max="12" width="6.88671875" style="0" customWidth="1"/>
    <col min="13" max="13" width="8.3359375" style="0" customWidth="1"/>
    <col min="14" max="14" width="11.99609375" style="0" customWidth="1"/>
    <col min="15" max="15" width="8.6640625" style="0" customWidth="1"/>
    <col min="16" max="16" width="19.4453125" style="0" customWidth="1"/>
    <col min="17" max="17" width="12.99609375" style="0" customWidth="1"/>
    <col min="18" max="18" width="15.6640625" style="0" customWidth="1"/>
    <col min="19" max="19" width="11.3359375" style="0" customWidth="1"/>
    <col min="20" max="20" width="20.99609375" style="0" customWidth="1"/>
    <col min="21" max="21" width="20.6640625" style="0" customWidth="1"/>
    <col min="22" max="22" width="8.4453125" style="0" customWidth="1"/>
    <col min="23" max="23" width="7.4453125" style="0" customWidth="1"/>
    <col min="24" max="24" width="5.3359375" style="0" customWidth="1"/>
  </cols>
  <sheetData>
    <row r="1" ht="39.75" customHeight="1">
      <c r="B1" s="108" t="s">
        <v>206</v>
      </c>
    </row>
    <row r="2" ht="24" customHeight="1">
      <c r="B2" s="110" t="s">
        <v>259</v>
      </c>
    </row>
    <row r="3" ht="39.75" customHeight="1">
      <c r="B3" s="106" t="s">
        <v>260</v>
      </c>
    </row>
    <row r="4" ht="78" customHeight="1" thickBot="1">
      <c r="B4" s="107" t="s">
        <v>207</v>
      </c>
    </row>
    <row r="5" spans="2:3" ht="19.5" customHeight="1" thickTop="1">
      <c r="B5" s="91" t="s">
        <v>171</v>
      </c>
      <c r="C5" s="92"/>
    </row>
    <row r="6" spans="2:3" ht="19.5" customHeight="1">
      <c r="B6" s="93" t="s">
        <v>172</v>
      </c>
      <c r="C6" s="94"/>
    </row>
    <row r="7" spans="2:3" ht="21.75" customHeight="1" thickBot="1">
      <c r="B7" s="145" t="s">
        <v>173</v>
      </c>
      <c r="C7" s="146"/>
    </row>
    <row r="8" spans="2:9" ht="19.5" customHeight="1" thickTop="1">
      <c r="B8" s="120"/>
      <c r="C8" s="120"/>
      <c r="D8" s="120"/>
      <c r="E8" s="120"/>
      <c r="F8" s="120"/>
      <c r="G8" s="120"/>
      <c r="H8" s="120"/>
      <c r="I8" s="120"/>
    </row>
    <row r="9" spans="2:9" ht="34.5" customHeight="1">
      <c r="B9" s="147" t="s">
        <v>231</v>
      </c>
      <c r="C9" s="147"/>
      <c r="D9" s="147"/>
      <c r="E9" s="147"/>
      <c r="F9" s="147"/>
      <c r="G9" s="147"/>
      <c r="H9" s="147"/>
      <c r="I9" s="147"/>
    </row>
    <row r="10" ht="15.75" customHeight="1">
      <c r="B10" s="75"/>
    </row>
    <row r="11" spans="2:9" ht="81.75" customHeight="1">
      <c r="B11" s="153" t="s">
        <v>169</v>
      </c>
      <c r="C11" s="153"/>
      <c r="D11" s="153"/>
      <c r="E11" s="153"/>
      <c r="F11" s="153"/>
      <c r="G11" s="153"/>
      <c r="H11" s="153"/>
      <c r="I11" s="153"/>
    </row>
    <row r="12" spans="2:9" ht="48" customHeight="1">
      <c r="B12" s="66"/>
      <c r="C12" s="67"/>
      <c r="D12" s="67"/>
      <c r="E12" s="67"/>
      <c r="F12" s="67"/>
      <c r="G12" s="67"/>
      <c r="H12" s="67"/>
      <c r="I12" s="67"/>
    </row>
    <row r="13" spans="2:9" ht="17.25" customHeight="1">
      <c r="B13" s="2"/>
      <c r="C13" s="3"/>
      <c r="D13" s="3"/>
      <c r="E13" s="3"/>
      <c r="F13" s="3"/>
      <c r="G13" s="3"/>
      <c r="H13" s="3"/>
      <c r="I13" s="3"/>
    </row>
    <row r="14" spans="2:9" ht="30.75" customHeight="1">
      <c r="B14" s="2"/>
      <c r="C14" s="3"/>
      <c r="D14" s="3"/>
      <c r="E14" s="3"/>
      <c r="F14" s="3"/>
      <c r="G14" s="3"/>
      <c r="H14" s="3"/>
      <c r="I14" s="3"/>
    </row>
    <row r="15" spans="2:9" ht="16.5" customHeight="1">
      <c r="B15" s="2"/>
      <c r="C15" s="3"/>
      <c r="D15" s="3"/>
      <c r="E15" s="3"/>
      <c r="F15" s="3"/>
      <c r="G15" s="3"/>
      <c r="H15" s="3"/>
      <c r="I15" s="3"/>
    </row>
    <row r="16" spans="2:9" ht="17.25" customHeight="1">
      <c r="B16" s="2"/>
      <c r="C16" s="3"/>
      <c r="D16" s="3"/>
      <c r="E16" s="3"/>
      <c r="F16" s="3"/>
      <c r="G16" s="3"/>
      <c r="H16" s="3"/>
      <c r="I16" s="3"/>
    </row>
    <row r="17" spans="2:9" ht="27" customHeight="1">
      <c r="B17" s="2" t="s">
        <v>16</v>
      </c>
      <c r="C17" s="3"/>
      <c r="D17" s="3"/>
      <c r="E17" s="3"/>
      <c r="F17" s="3"/>
      <c r="G17" s="3"/>
      <c r="H17" s="3"/>
      <c r="I17" s="3"/>
    </row>
    <row r="18" spans="2:9" ht="18" customHeight="1">
      <c r="B18" s="2"/>
      <c r="C18" s="3"/>
      <c r="D18" s="3"/>
      <c r="E18" s="3"/>
      <c r="F18" s="3"/>
      <c r="G18" s="3"/>
      <c r="H18" s="3"/>
      <c r="I18" s="3"/>
    </row>
    <row r="19" spans="2:9" ht="17.25" customHeight="1">
      <c r="B19" s="143" t="s">
        <v>18</v>
      </c>
      <c r="C19" s="144"/>
      <c r="D19" s="144"/>
      <c r="E19" s="144"/>
      <c r="F19" s="144"/>
      <c r="I19" s="3"/>
    </row>
    <row r="20" spans="2:9" ht="17.25" customHeight="1">
      <c r="B20" s="2"/>
      <c r="C20" s="3"/>
      <c r="I20" s="3"/>
    </row>
    <row r="21" spans="3:9" ht="17.25" customHeight="1">
      <c r="C21" s="3" t="s">
        <v>8</v>
      </c>
      <c r="D21" s="3" t="s">
        <v>9</v>
      </c>
      <c r="E21" s="3" t="s">
        <v>10</v>
      </c>
      <c r="F21" s="3"/>
      <c r="I21" s="3"/>
    </row>
    <row r="22" spans="2:9" ht="17.25" customHeight="1">
      <c r="B22" s="5" t="s">
        <v>11</v>
      </c>
      <c r="C22" s="6">
        <v>285</v>
      </c>
      <c r="D22" s="6">
        <v>125</v>
      </c>
      <c r="E22" s="7">
        <v>14</v>
      </c>
      <c r="F22" s="3"/>
      <c r="I22" s="3"/>
    </row>
    <row r="23" spans="2:9" ht="17.25" customHeight="1">
      <c r="B23" s="5" t="s">
        <v>12</v>
      </c>
      <c r="C23" s="6">
        <v>254.5</v>
      </c>
      <c r="D23" s="6">
        <v>500</v>
      </c>
      <c r="E23" s="7">
        <v>14</v>
      </c>
      <c r="F23" s="3"/>
      <c r="I23" s="3"/>
    </row>
    <row r="24" spans="2:9" ht="17.25" customHeight="1">
      <c r="B24" s="5" t="s">
        <v>13</v>
      </c>
      <c r="C24" s="6">
        <v>223.8</v>
      </c>
      <c r="D24" s="6">
        <v>500</v>
      </c>
      <c r="E24" s="7">
        <v>13</v>
      </c>
      <c r="F24" s="3"/>
      <c r="I24" s="3" t="s">
        <v>17</v>
      </c>
    </row>
    <row r="25" spans="2:9" ht="17.25" customHeight="1">
      <c r="B25" s="5" t="s">
        <v>14</v>
      </c>
      <c r="C25" s="6">
        <v>210</v>
      </c>
      <c r="D25" s="6">
        <v>230</v>
      </c>
      <c r="E25" s="7">
        <v>12</v>
      </c>
      <c r="F25" s="3"/>
      <c r="I25" s="3"/>
    </row>
    <row r="26" spans="2:9" ht="17.25" customHeight="1">
      <c r="B26" s="5" t="s">
        <v>15</v>
      </c>
      <c r="C26" s="6">
        <v>124</v>
      </c>
      <c r="D26" s="6">
        <v>900</v>
      </c>
      <c r="E26" s="7">
        <v>12</v>
      </c>
      <c r="F26" s="3"/>
      <c r="G26" s="77"/>
      <c r="H26" s="3"/>
      <c r="I26" s="3"/>
    </row>
    <row r="27" spans="2:9" ht="17.25" customHeight="1">
      <c r="B27" s="5" t="s">
        <v>88</v>
      </c>
      <c r="C27" s="6">
        <v>93</v>
      </c>
      <c r="D27" s="6">
        <v>302.5</v>
      </c>
      <c r="E27" s="7">
        <v>12</v>
      </c>
      <c r="F27" s="3"/>
      <c r="G27" s="77"/>
      <c r="H27" s="3"/>
      <c r="I27" s="3"/>
    </row>
    <row r="28" spans="2:9" ht="17.25" customHeight="1">
      <c r="B28" s="5"/>
      <c r="C28" s="76"/>
      <c r="D28" s="76"/>
      <c r="E28" s="77"/>
      <c r="F28" s="3"/>
      <c r="G28" s="77"/>
      <c r="H28" s="3"/>
      <c r="I28" s="3"/>
    </row>
    <row r="29" spans="2:9" ht="73.5" customHeight="1">
      <c r="B29" s="134" t="s">
        <v>170</v>
      </c>
      <c r="C29" s="135"/>
      <c r="D29" s="135"/>
      <c r="E29" s="135"/>
      <c r="F29" s="135"/>
      <c r="G29" s="135"/>
      <c r="H29" s="135"/>
      <c r="I29" s="135"/>
    </row>
    <row r="30" spans="2:15" ht="42.75" customHeight="1">
      <c r="B30" s="154"/>
      <c r="C30" s="155"/>
      <c r="D30" s="155"/>
      <c r="E30" s="155"/>
      <c r="F30" s="155"/>
      <c r="G30" s="155"/>
      <c r="H30" s="155"/>
      <c r="I30" s="155"/>
      <c r="J30" s="155"/>
      <c r="K30" s="155"/>
      <c r="L30" s="155"/>
      <c r="M30" s="155"/>
      <c r="N30" s="155"/>
      <c r="O30" s="155"/>
    </row>
    <row r="31" spans="2:9" ht="14.25" customHeight="1">
      <c r="B31" s="2"/>
      <c r="C31" s="3"/>
      <c r="D31" s="3"/>
      <c r="E31" s="3"/>
      <c r="F31" s="3"/>
      <c r="G31" s="3"/>
      <c r="H31" s="3"/>
      <c r="I31" s="3"/>
    </row>
    <row r="32" ht="15">
      <c r="B32" t="s">
        <v>2</v>
      </c>
    </row>
    <row r="33" spans="2:4" ht="19.5">
      <c r="B33" t="s">
        <v>23</v>
      </c>
      <c r="C33" s="5" t="s">
        <v>19</v>
      </c>
      <c r="D33" s="8">
        <v>1</v>
      </c>
    </row>
    <row r="34" spans="2:5" ht="15">
      <c r="B34" t="s">
        <v>22</v>
      </c>
      <c r="C34" s="5" t="s">
        <v>0</v>
      </c>
      <c r="D34" s="8">
        <v>50</v>
      </c>
      <c r="E34" t="s">
        <v>212</v>
      </c>
    </row>
    <row r="35" spans="2:5" ht="18">
      <c r="B35" t="s">
        <v>24</v>
      </c>
      <c r="C35" s="5" t="s">
        <v>1</v>
      </c>
      <c r="D35" s="56">
        <f>2*(((C22+C23)/2*D23)+((C23+C24)/2*D24)+((C24+C25)/2*D25)+((C25+C26)/2*D26)+((C26+C27)/2*D27))/1000000</f>
        <v>0.9749165</v>
      </c>
      <c r="E35" t="s">
        <v>21</v>
      </c>
    </row>
    <row r="37" spans="2:5" ht="15">
      <c r="B37" t="s">
        <v>25</v>
      </c>
      <c r="C37" s="5" t="s">
        <v>20</v>
      </c>
      <c r="D37" s="56">
        <f>0.6*D33*D34*D34*D35</f>
        <v>1462.37475</v>
      </c>
      <c r="E37" t="s">
        <v>6</v>
      </c>
    </row>
    <row r="38" spans="3:4" ht="15">
      <c r="C38" s="5"/>
      <c r="D38" s="9"/>
    </row>
    <row r="39" spans="2:5" ht="15">
      <c r="B39" t="s">
        <v>144</v>
      </c>
      <c r="C39" s="5" t="s">
        <v>145</v>
      </c>
      <c r="D39" s="8">
        <v>100</v>
      </c>
      <c r="E39" t="s">
        <v>6</v>
      </c>
    </row>
    <row r="40" spans="3:4" ht="15">
      <c r="C40" s="5"/>
      <c r="D40" s="9"/>
    </row>
    <row r="41" spans="2:4" ht="15">
      <c r="B41" t="s">
        <v>146</v>
      </c>
      <c r="C41" s="5" t="s">
        <v>147</v>
      </c>
      <c r="D41" s="57">
        <f>D37/D39</f>
        <v>14.6237475</v>
      </c>
    </row>
    <row r="42" spans="3:4" ht="15">
      <c r="C42" s="5"/>
      <c r="D42" s="9"/>
    </row>
    <row r="43" spans="2:4" ht="15">
      <c r="B43" t="s">
        <v>26</v>
      </c>
      <c r="C43" s="5"/>
      <c r="D43" s="9"/>
    </row>
    <row r="44" spans="3:4" ht="69.75" customHeight="1">
      <c r="C44" s="5"/>
      <c r="D44" s="9"/>
    </row>
    <row r="45" spans="2:5" ht="15">
      <c r="B45" t="s">
        <v>27</v>
      </c>
      <c r="C45" s="5" t="s">
        <v>3</v>
      </c>
      <c r="D45" s="56">
        <f>(D22+D23+D24+D25+D26+D27)*2</f>
        <v>5115</v>
      </c>
      <c r="E45" t="s">
        <v>4</v>
      </c>
    </row>
    <row r="46" spans="3:4" ht="15">
      <c r="C46" s="5"/>
      <c r="D46" s="9"/>
    </row>
    <row r="47" spans="2:5" ht="18.75" customHeight="1">
      <c r="B47" t="s">
        <v>30</v>
      </c>
      <c r="C47" t="s">
        <v>29</v>
      </c>
      <c r="D47" s="56">
        <f>D37/2*D45/4</f>
        <v>935005.8557812499</v>
      </c>
      <c r="E47" t="s">
        <v>28</v>
      </c>
    </row>
    <row r="48" ht="18.75" customHeight="1">
      <c r="D48" s="9"/>
    </row>
    <row r="49" spans="4:10" ht="18.75" customHeight="1">
      <c r="D49" s="9"/>
      <c r="H49" s="85" t="s">
        <v>230</v>
      </c>
      <c r="I49" s="119">
        <f>D34*D34/(9.81*(D41-1))</f>
        <v>18.7057194036563</v>
      </c>
      <c r="J49" t="s">
        <v>229</v>
      </c>
    </row>
    <row r="50" ht="18.75" customHeight="1">
      <c r="D50" s="9"/>
    </row>
    <row r="51" ht="18.75" customHeight="1">
      <c r="D51" s="9"/>
    </row>
    <row r="52" spans="2:6" ht="46.5" customHeight="1">
      <c r="B52" s="134" t="s">
        <v>35</v>
      </c>
      <c r="C52" s="134"/>
      <c r="D52" s="134"/>
      <c r="E52" s="134"/>
      <c r="F52" s="134"/>
    </row>
    <row r="53" spans="2:6" ht="18.75" customHeight="1">
      <c r="B53" s="2"/>
      <c r="C53" s="2"/>
      <c r="D53" s="2"/>
      <c r="E53" s="2"/>
      <c r="F53" s="2"/>
    </row>
    <row r="54" ht="15">
      <c r="B54" t="s">
        <v>31</v>
      </c>
    </row>
    <row r="55" spans="2:6" ht="33.75" customHeight="1">
      <c r="B55" s="133" t="s">
        <v>36</v>
      </c>
      <c r="C55" s="133"/>
      <c r="D55" s="133"/>
      <c r="E55" s="133"/>
      <c r="F55" s="133"/>
    </row>
    <row r="56" spans="2:6" ht="18.75" customHeight="1">
      <c r="B56" s="10"/>
      <c r="C56" s="10"/>
      <c r="D56" s="10"/>
      <c r="E56" s="10"/>
      <c r="F56" s="10"/>
    </row>
    <row r="57" spans="2:5" ht="15">
      <c r="B57" t="s">
        <v>32</v>
      </c>
      <c r="C57" s="5" t="s">
        <v>33</v>
      </c>
      <c r="D57" s="56">
        <f>D47*2/(D45/2)/(D45/2)</f>
        <v>0.2858992668621701</v>
      </c>
      <c r="E57" t="s">
        <v>34</v>
      </c>
    </row>
    <row r="58" spans="8:9" ht="15" customHeight="1">
      <c r="H58" s="63" t="s">
        <v>17</v>
      </c>
      <c r="I58" s="62"/>
    </row>
    <row r="59" ht="15">
      <c r="B59" t="s">
        <v>37</v>
      </c>
    </row>
    <row r="60" spans="3:4" ht="15">
      <c r="C60" s="5"/>
      <c r="D60" s="9"/>
    </row>
    <row r="61" spans="2:5" ht="15">
      <c r="B61" t="s">
        <v>39</v>
      </c>
      <c r="C61" s="5" t="s">
        <v>40</v>
      </c>
      <c r="D61" s="56">
        <f>D57*(D45/2)</f>
        <v>731.187375</v>
      </c>
      <c r="E61" t="s">
        <v>6</v>
      </c>
    </row>
    <row r="62" spans="3:4" ht="15">
      <c r="C62" s="5"/>
      <c r="D62" s="9"/>
    </row>
    <row r="63" spans="2:22" ht="15">
      <c r="B63" t="s">
        <v>38</v>
      </c>
      <c r="C63" s="5"/>
      <c r="D63" s="9"/>
      <c r="I63" s="137" t="s">
        <v>168</v>
      </c>
      <c r="J63" s="138"/>
      <c r="K63" s="138"/>
      <c r="L63" s="138"/>
      <c r="M63" s="138"/>
      <c r="N63" s="138"/>
      <c r="O63" s="138"/>
      <c r="P63" s="89"/>
      <c r="Q63" s="89"/>
      <c r="R63" s="89"/>
      <c r="S63" s="89"/>
      <c r="T63" s="89"/>
      <c r="U63" s="89"/>
      <c r="V63" s="82"/>
    </row>
    <row r="64" spans="3:23" ht="15">
      <c r="C64" s="5"/>
      <c r="D64" s="9"/>
      <c r="I64" s="139"/>
      <c r="J64" s="140"/>
      <c r="K64" s="140"/>
      <c r="L64" s="140"/>
      <c r="M64" s="140"/>
      <c r="N64" s="140"/>
      <c r="O64" s="140"/>
      <c r="P64" s="69"/>
      <c r="Q64" s="69"/>
      <c r="R64" s="69"/>
      <c r="S64" s="69"/>
      <c r="T64" s="69"/>
      <c r="U64" s="69"/>
      <c r="V64" s="70"/>
      <c r="W64" t="s">
        <v>251</v>
      </c>
    </row>
    <row r="65" spans="3:22" ht="15">
      <c r="C65" s="5"/>
      <c r="D65" s="9"/>
      <c r="I65" s="141"/>
      <c r="J65" s="142"/>
      <c r="K65" s="142"/>
      <c r="L65" s="142"/>
      <c r="M65" s="142"/>
      <c r="N65" s="142"/>
      <c r="O65" s="142"/>
      <c r="P65" s="73"/>
      <c r="Q65" s="73"/>
      <c r="R65" s="73"/>
      <c r="S65" s="73"/>
      <c r="T65" s="73"/>
      <c r="U65" s="73"/>
      <c r="V65" s="74"/>
    </row>
    <row r="66" spans="2:23" ht="30">
      <c r="B66" s="105" t="s">
        <v>208</v>
      </c>
      <c r="C66" s="5"/>
      <c r="D66" s="9"/>
      <c r="I66" s="100" t="s">
        <v>139</v>
      </c>
      <c r="J66" s="82"/>
      <c r="K66" s="100" t="s">
        <v>140</v>
      </c>
      <c r="L66" s="89"/>
      <c r="M66" s="82"/>
      <c r="N66" s="89"/>
      <c r="O66" s="82"/>
      <c r="P66" s="100" t="s">
        <v>195</v>
      </c>
      <c r="Q66" s="89"/>
      <c r="R66" s="89"/>
      <c r="S66" s="89"/>
      <c r="T66" s="82"/>
      <c r="U66" s="123" t="s">
        <v>249</v>
      </c>
      <c r="V66" s="82" t="s">
        <v>197</v>
      </c>
      <c r="W66" t="s">
        <v>250</v>
      </c>
    </row>
    <row r="67" spans="3:22" ht="15">
      <c r="C67" s="5"/>
      <c r="D67" s="9"/>
      <c r="I67" s="68"/>
      <c r="J67" s="70"/>
      <c r="K67" s="68"/>
      <c r="L67" s="69"/>
      <c r="M67" s="70"/>
      <c r="N67" s="69"/>
      <c r="O67" s="70"/>
      <c r="P67" s="68"/>
      <c r="Q67" s="69"/>
      <c r="R67" s="69"/>
      <c r="S67" s="69"/>
      <c r="T67" s="70"/>
      <c r="U67" s="70"/>
      <c r="V67" s="70"/>
    </row>
    <row r="68" spans="3:23" ht="15">
      <c r="C68" s="5"/>
      <c r="D68" s="9"/>
      <c r="I68" s="71">
        <f>VLOOKUP(N68,Gurtmaterialien,6,0)</f>
        <v>800</v>
      </c>
      <c r="J68" s="101" t="s">
        <v>136</v>
      </c>
      <c r="K68" s="71">
        <f>VLOOKUP(N68,Gurtmaterialien,3,0)</f>
        <v>0.8</v>
      </c>
      <c r="L68" s="69"/>
      <c r="M68" s="70"/>
      <c r="N68" s="69">
        <v>17</v>
      </c>
      <c r="O68" s="70"/>
      <c r="P68" s="71">
        <f>VLOOKUP(N68,Gurtmaterialien,12,0)</f>
        <v>300</v>
      </c>
      <c r="Q68" s="69"/>
      <c r="R68" s="69"/>
      <c r="S68" s="69"/>
      <c r="T68" s="104"/>
      <c r="U68" s="71">
        <f>VLOOKUP(N68,Gurtmaterialien,10,0)</f>
        <v>135000</v>
      </c>
      <c r="V68" s="103">
        <f>VLOOKUP(N68,Gurtmaterialien,11,0)</f>
        <v>800</v>
      </c>
      <c r="W68">
        <f>POWER((-J110*D110*K110/2)-(K110*K110*D110/2),2)+(D110*K110*K110*K110/12)+POWER((J110*D110*K110/2)-(K110*K110*D110/2),2)+(D110*K110*K110*K110/12)+(R110*J110*J110*J110/6)</f>
        <v>683482.2352319389</v>
      </c>
    </row>
    <row r="69" spans="2:22" ht="15">
      <c r="B69" t="s">
        <v>148</v>
      </c>
      <c r="C69" s="5"/>
      <c r="D69" s="9"/>
      <c r="I69" s="90"/>
      <c r="J69" s="74"/>
      <c r="K69" s="90"/>
      <c r="L69" s="73"/>
      <c r="M69" s="74"/>
      <c r="N69" s="73"/>
      <c r="O69" s="74"/>
      <c r="P69" s="90"/>
      <c r="Q69" s="73"/>
      <c r="R69" s="73"/>
      <c r="S69" s="73"/>
      <c r="T69" s="74"/>
      <c r="U69" s="74"/>
      <c r="V69" s="74"/>
    </row>
    <row r="70" spans="3:22" ht="15">
      <c r="C70" s="5"/>
      <c r="D70" s="9"/>
      <c r="I70" s="100" t="s">
        <v>7</v>
      </c>
      <c r="J70" s="82"/>
      <c r="K70" s="100"/>
      <c r="L70" s="89"/>
      <c r="M70" s="82"/>
      <c r="N70" s="89">
        <v>2</v>
      </c>
      <c r="O70" s="82"/>
      <c r="P70" s="100"/>
      <c r="Q70" s="89"/>
      <c r="R70" s="89"/>
      <c r="S70" s="89"/>
      <c r="T70" s="82"/>
      <c r="U70" s="82"/>
      <c r="V70" s="82"/>
    </row>
    <row r="71" spans="3:22" ht="15">
      <c r="C71" s="5"/>
      <c r="D71" s="9"/>
      <c r="I71" s="71">
        <f>VLOOKUP(N70,Stegmaterialien,7,0)</f>
        <v>80</v>
      </c>
      <c r="J71" s="101" t="s">
        <v>136</v>
      </c>
      <c r="K71" s="68"/>
      <c r="L71" s="69"/>
      <c r="M71" s="70"/>
      <c r="N71" s="69"/>
      <c r="O71" s="70"/>
      <c r="P71" s="68"/>
      <c r="Q71" s="69"/>
      <c r="R71" s="69"/>
      <c r="S71" s="69"/>
      <c r="T71" s="70"/>
      <c r="U71" s="70"/>
      <c r="V71" s="70"/>
    </row>
    <row r="72" spans="3:22" ht="15">
      <c r="C72" s="5"/>
      <c r="D72" s="9"/>
      <c r="I72" s="90"/>
      <c r="J72" s="74"/>
      <c r="K72" s="90"/>
      <c r="L72" s="73"/>
      <c r="M72" s="74"/>
      <c r="N72" s="73"/>
      <c r="O72" s="74"/>
      <c r="P72" s="90"/>
      <c r="Q72" s="73"/>
      <c r="R72" s="73"/>
      <c r="S72" s="73"/>
      <c r="T72" s="74"/>
      <c r="U72" s="74"/>
      <c r="V72" s="74"/>
    </row>
    <row r="73" spans="2:22" ht="15">
      <c r="B73" t="s">
        <v>164</v>
      </c>
      <c r="C73" s="5"/>
      <c r="D73" s="9"/>
      <c r="I73" s="68"/>
      <c r="J73" s="70"/>
      <c r="K73" s="68"/>
      <c r="L73" s="69"/>
      <c r="M73" s="70"/>
      <c r="N73" s="69"/>
      <c r="O73" s="70"/>
      <c r="P73" s="68"/>
      <c r="Q73" s="69"/>
      <c r="R73" s="69"/>
      <c r="S73" s="69"/>
      <c r="T73" s="70"/>
      <c r="U73" s="70"/>
      <c r="V73" s="70"/>
    </row>
    <row r="74" spans="3:22" ht="15">
      <c r="C74" s="5"/>
      <c r="D74" s="9"/>
      <c r="I74" s="68" t="s">
        <v>166</v>
      </c>
      <c r="J74" s="70"/>
      <c r="K74" s="68"/>
      <c r="L74" s="69"/>
      <c r="M74" s="70"/>
      <c r="N74" s="69">
        <v>14</v>
      </c>
      <c r="O74" s="70"/>
      <c r="P74" s="68"/>
      <c r="Q74" s="69"/>
      <c r="R74" s="69"/>
      <c r="S74" s="69"/>
      <c r="T74" s="70"/>
      <c r="U74" s="70"/>
      <c r="V74" s="70"/>
    </row>
    <row r="75" spans="3:22" ht="15">
      <c r="C75" s="5"/>
      <c r="D75" s="9"/>
      <c r="I75" s="72">
        <f>VLOOKUP(N74,Kernmaterial,7,0)</f>
        <v>1.3</v>
      </c>
      <c r="J75" s="102" t="s">
        <v>136</v>
      </c>
      <c r="K75" s="90"/>
      <c r="L75" s="73"/>
      <c r="M75" s="74"/>
      <c r="N75" s="73"/>
      <c r="O75" s="74"/>
      <c r="P75" s="90"/>
      <c r="Q75" s="73"/>
      <c r="R75" s="73"/>
      <c r="S75" s="73"/>
      <c r="T75" s="74"/>
      <c r="U75" s="74"/>
      <c r="V75" s="74"/>
    </row>
    <row r="76" spans="3:22" ht="15">
      <c r="C76" s="5"/>
      <c r="D76" s="9"/>
      <c r="I76" s="68"/>
      <c r="J76" s="70"/>
      <c r="K76" s="68"/>
      <c r="L76" s="69"/>
      <c r="M76" s="70"/>
      <c r="N76" s="69"/>
      <c r="O76" s="70"/>
      <c r="P76" s="68"/>
      <c r="Q76" s="69"/>
      <c r="R76" s="69"/>
      <c r="S76" s="69"/>
      <c r="T76" s="70"/>
      <c r="U76" s="70"/>
      <c r="V76" s="70"/>
    </row>
    <row r="77" spans="2:22" ht="36" customHeight="1">
      <c r="B77" s="136" t="s">
        <v>167</v>
      </c>
      <c r="C77" s="136"/>
      <c r="D77" s="136"/>
      <c r="E77" s="136"/>
      <c r="F77" s="136"/>
      <c r="I77" s="68" t="s">
        <v>245</v>
      </c>
      <c r="J77" s="70"/>
      <c r="K77" s="68"/>
      <c r="L77" s="69"/>
      <c r="M77" s="70"/>
      <c r="N77" s="69">
        <f>N74</f>
        <v>14</v>
      </c>
      <c r="O77" s="70"/>
      <c r="P77" s="68"/>
      <c r="Q77" s="69"/>
      <c r="R77" s="69"/>
      <c r="S77" s="69"/>
      <c r="T77" s="70"/>
      <c r="U77" s="70"/>
      <c r="V77" s="70"/>
    </row>
    <row r="78" spans="2:22" ht="15">
      <c r="B78" s="64" t="s">
        <v>129</v>
      </c>
      <c r="C78" s="55">
        <v>1</v>
      </c>
      <c r="D78" t="s">
        <v>4</v>
      </c>
      <c r="I78" s="72">
        <f>VLOOKUP(N77,Kernmaterial,5,0)</f>
        <v>1.5</v>
      </c>
      <c r="J78" s="102" t="s">
        <v>136</v>
      </c>
      <c r="K78" s="90"/>
      <c r="L78" s="73"/>
      <c r="M78" s="74"/>
      <c r="N78" s="73"/>
      <c r="O78" s="74"/>
      <c r="P78" s="90"/>
      <c r="Q78" s="73"/>
      <c r="R78" s="73"/>
      <c r="S78" s="73"/>
      <c r="T78" s="74"/>
      <c r="U78" s="74"/>
      <c r="V78" s="74"/>
    </row>
    <row r="80" spans="2:6" ht="28.5" customHeight="1">
      <c r="B80" s="136"/>
      <c r="C80" s="136"/>
      <c r="D80" s="136"/>
      <c r="E80" s="136"/>
      <c r="F80" s="136"/>
    </row>
    <row r="81" spans="2:6" ht="31.5" customHeight="1">
      <c r="B81" s="136"/>
      <c r="C81" s="136"/>
      <c r="D81" s="136"/>
      <c r="E81" s="136"/>
      <c r="F81" s="136"/>
    </row>
    <row r="82" ht="15">
      <c r="K82" s="156"/>
    </row>
    <row r="83" ht="15">
      <c r="K83" s="156"/>
    </row>
    <row r="89" ht="20.25">
      <c r="B89" s="65" t="s">
        <v>165</v>
      </c>
    </row>
    <row r="95" spans="3:4" ht="15">
      <c r="C95" s="5"/>
      <c r="D95" s="9"/>
    </row>
    <row r="96" spans="3:10" ht="15">
      <c r="C96" s="5"/>
      <c r="D96" s="9"/>
      <c r="J96" s="9"/>
    </row>
    <row r="97" spans="3:4" ht="15">
      <c r="C97" s="5"/>
      <c r="D97" s="9"/>
    </row>
    <row r="98" ht="15">
      <c r="C98" s="1"/>
    </row>
    <row r="106" spans="2:11" ht="53.25" customHeight="1">
      <c r="B106" s="152" t="s">
        <v>41</v>
      </c>
      <c r="C106" s="152"/>
      <c r="D106" s="152"/>
      <c r="E106" s="152"/>
      <c r="F106" s="152"/>
      <c r="G106" s="152"/>
      <c r="H106" s="152"/>
      <c r="I106" s="152"/>
      <c r="J106" s="11"/>
      <c r="K106" s="11"/>
    </row>
    <row r="107" spans="2:21" ht="17.25" customHeight="1">
      <c r="B107" s="11"/>
      <c r="C107" s="11"/>
      <c r="D107" s="11"/>
      <c r="E107" s="11"/>
      <c r="F107" s="11"/>
      <c r="G107" s="11"/>
      <c r="H107" s="11"/>
      <c r="I107" s="148" t="s">
        <v>254</v>
      </c>
      <c r="J107" s="149"/>
      <c r="K107" s="149"/>
      <c r="L107" s="149"/>
      <c r="M107" s="149"/>
      <c r="N107" s="150"/>
      <c r="O107" s="151" t="s">
        <v>255</v>
      </c>
      <c r="P107" s="149"/>
      <c r="Q107" s="149"/>
      <c r="R107" s="149"/>
      <c r="S107" s="132"/>
      <c r="T107" s="132"/>
      <c r="U107" s="131"/>
    </row>
    <row r="108" spans="2:18" ht="120.75" customHeight="1">
      <c r="B108" s="12" t="s">
        <v>50</v>
      </c>
      <c r="C108" s="12" t="s">
        <v>51</v>
      </c>
      <c r="D108" s="12" t="s">
        <v>52</v>
      </c>
      <c r="E108" s="12" t="s">
        <v>54</v>
      </c>
      <c r="F108" s="12" t="s">
        <v>53</v>
      </c>
      <c r="G108" s="12" t="s">
        <v>58</v>
      </c>
      <c r="H108" s="12" t="s">
        <v>59</v>
      </c>
      <c r="I108" s="12" t="s">
        <v>55</v>
      </c>
      <c r="J108" s="12" t="s">
        <v>57</v>
      </c>
      <c r="K108" s="12" t="s">
        <v>60</v>
      </c>
      <c r="L108" s="12" t="s">
        <v>61</v>
      </c>
      <c r="M108" s="87" t="s">
        <v>210</v>
      </c>
      <c r="N108" s="125" t="s">
        <v>214</v>
      </c>
      <c r="O108" s="128" t="s">
        <v>243</v>
      </c>
      <c r="P108" s="109" t="s">
        <v>256</v>
      </c>
      <c r="Q108" s="12" t="s">
        <v>56</v>
      </c>
      <c r="R108" s="12" t="s">
        <v>257</v>
      </c>
    </row>
    <row r="109" spans="2:20" s="11" customFormat="1" ht="54">
      <c r="B109" s="12"/>
      <c r="C109" s="12" t="s">
        <v>43</v>
      </c>
      <c r="D109" s="12" t="s">
        <v>48</v>
      </c>
      <c r="E109" s="12" t="s">
        <v>62</v>
      </c>
      <c r="F109" s="12" t="s">
        <v>63</v>
      </c>
      <c r="G109" s="12" t="s">
        <v>64</v>
      </c>
      <c r="H109" s="12" t="s">
        <v>65</v>
      </c>
      <c r="I109" s="12" t="s">
        <v>66</v>
      </c>
      <c r="J109" s="12" t="s">
        <v>68</v>
      </c>
      <c r="K109" s="12" t="s">
        <v>8</v>
      </c>
      <c r="L109" s="12" t="s">
        <v>5</v>
      </c>
      <c r="M109" s="12" t="s">
        <v>211</v>
      </c>
      <c r="N109" s="126" t="s">
        <v>213</v>
      </c>
      <c r="O109" s="129" t="s">
        <v>244</v>
      </c>
      <c r="P109" s="12"/>
      <c r="Q109" s="12" t="s">
        <v>67</v>
      </c>
      <c r="R109" s="12" t="s">
        <v>69</v>
      </c>
      <c r="S109"/>
      <c r="T109"/>
    </row>
    <row r="110" spans="2:24" ht="15">
      <c r="B110" s="13" t="s">
        <v>42</v>
      </c>
      <c r="C110" s="14">
        <v>0</v>
      </c>
      <c r="D110" s="15">
        <v>40</v>
      </c>
      <c r="E110" s="58">
        <f>D57*((D45/2)-C110)*((D45/2)-C110)/2</f>
        <v>935005.8557812499</v>
      </c>
      <c r="F110" s="59">
        <f>D57*((D45/2)-C110)</f>
        <v>731.187375</v>
      </c>
      <c r="G110" s="60">
        <f>C22*E22/100</f>
        <v>39.9</v>
      </c>
      <c r="H110" s="60">
        <f>G110-2*C78</f>
        <v>37.9</v>
      </c>
      <c r="I110" s="58">
        <f>E110/I68</f>
        <v>1168.7573197265624</v>
      </c>
      <c r="J110" s="60">
        <f aca="true" t="shared" si="0" ref="J110:J121">POWER((((D110*H110*H110*H110)-(6*H110*I110))/D110),1/3)</f>
        <v>36.29074069055882</v>
      </c>
      <c r="K110" s="61">
        <f aca="true" t="shared" si="1" ref="K110:K121">(H110-J110)/2</f>
        <v>0.8046296547205891</v>
      </c>
      <c r="L110" s="78">
        <f>K110*D110/K68</f>
        <v>40.231482736029456</v>
      </c>
      <c r="M110" s="88">
        <f aca="true" t="shared" si="2" ref="M110:M121">ROUNDUP(L110*V$68/D110/P$68,0)</f>
        <v>3</v>
      </c>
      <c r="N110" s="127">
        <f aca="true" t="shared" si="3" ref="N110:N121">D110*K110</f>
        <v>32.185186188823565</v>
      </c>
      <c r="O110" s="130">
        <f aca="true" t="shared" si="4" ref="O110:O121">F110/(J110*D110)</f>
        <v>0.503701055067072</v>
      </c>
      <c r="P110" s="121" t="str">
        <f>IF(O110&gt;=I75,"Beschichtung notwendig!","keine Beschichtung")</f>
        <v>keine Beschichtung</v>
      </c>
      <c r="Q110" s="61">
        <f>F110/I71</f>
        <v>9.1398421875</v>
      </c>
      <c r="R110" s="79">
        <f aca="true" t="shared" si="5" ref="R110:R121">Q110/(2*J110)</f>
        <v>0.125925263766768</v>
      </c>
      <c r="V110" s="96">
        <f>C110</f>
        <v>0</v>
      </c>
      <c r="X110" s="95">
        <f>M110</f>
        <v>3</v>
      </c>
    </row>
    <row r="111" spans="2:24" ht="15">
      <c r="B111" s="13" t="s">
        <v>44</v>
      </c>
      <c r="C111" s="14">
        <f>D22</f>
        <v>125</v>
      </c>
      <c r="D111" s="15">
        <v>40</v>
      </c>
      <c r="E111" s="58">
        <f>D57*((D45/2)-C111)*((D45/2)-C111)/2</f>
        <v>845841.0219286107</v>
      </c>
      <c r="F111" s="59">
        <f>D57*((D45/2)-C111)</f>
        <v>695.4499666422288</v>
      </c>
      <c r="G111" s="60">
        <f>C22*E22/100</f>
        <v>39.9</v>
      </c>
      <c r="H111" s="60">
        <f>G111-2*C78</f>
        <v>37.9</v>
      </c>
      <c r="I111" s="58">
        <f>E111/I68</f>
        <v>1057.3012774107635</v>
      </c>
      <c r="J111" s="60">
        <f t="shared" si="0"/>
        <v>36.450406465905225</v>
      </c>
      <c r="K111" s="61">
        <f t="shared" si="1"/>
        <v>0.7247967670473869</v>
      </c>
      <c r="L111" s="78">
        <f>K111*D111/K68</f>
        <v>36.23983835236935</v>
      </c>
      <c r="M111" s="88">
        <f t="shared" si="2"/>
        <v>3</v>
      </c>
      <c r="N111" s="127">
        <f t="shared" si="3"/>
        <v>28.991870681895477</v>
      </c>
      <c r="O111" s="130">
        <f t="shared" si="4"/>
        <v>0.47698368418246234</v>
      </c>
      <c r="P111" s="121" t="str">
        <f>IF(O111&gt;I75,"Beschichtung notwendig!","keine Beschichtung")</f>
        <v>keine Beschichtung</v>
      </c>
      <c r="Q111" s="61">
        <f>F111/I71</f>
        <v>8.69312458302786</v>
      </c>
      <c r="R111" s="79">
        <f t="shared" si="5"/>
        <v>0.11924592104561557</v>
      </c>
      <c r="V111" s="96">
        <f>C111</f>
        <v>125</v>
      </c>
      <c r="X111" s="95">
        <f>M110</f>
        <v>3</v>
      </c>
    </row>
    <row r="112" spans="2:24" ht="15">
      <c r="B112" s="16" t="s">
        <v>49</v>
      </c>
      <c r="C112" s="17">
        <v>500</v>
      </c>
      <c r="D112" s="15">
        <v>35.11</v>
      </c>
      <c r="E112" s="58">
        <f>D57*((D45/2)-C112)*((D45/2)-C112)/2</f>
        <v>605149.5766390213</v>
      </c>
      <c r="F112" s="59">
        <f>D57*((D45/2)-C112)</f>
        <v>588.237741568915</v>
      </c>
      <c r="G112" s="60">
        <f>((G111-G113)*(C112-C113)/(C111-C113))+G113</f>
        <v>36.697500000000005</v>
      </c>
      <c r="H112" s="60">
        <f>G112-2*C78</f>
        <v>34.697500000000005</v>
      </c>
      <c r="I112" s="58">
        <f>E112/I68</f>
        <v>756.4369707987767</v>
      </c>
      <c r="J112" s="60">
        <f t="shared" si="0"/>
        <v>33.408331692055995</v>
      </c>
      <c r="K112" s="61">
        <f t="shared" si="1"/>
        <v>0.644584153972005</v>
      </c>
      <c r="L112" s="78">
        <f>K112*D112/K68</f>
        <v>28.289187057446366</v>
      </c>
      <c r="M112" s="88">
        <f t="shared" si="2"/>
        <v>3</v>
      </c>
      <c r="N112" s="127">
        <f t="shared" si="3"/>
        <v>22.631349645957094</v>
      </c>
      <c r="O112" s="130">
        <f t="shared" si="4"/>
        <v>0.5014957619645735</v>
      </c>
      <c r="P112" s="121" t="str">
        <f>IF(O112&gt;I75,"Beschichtung notwendig!","keine Beschichtung")</f>
        <v>keine Beschichtung</v>
      </c>
      <c r="Q112" s="61">
        <f>F112/I71</f>
        <v>7.352971769611438</v>
      </c>
      <c r="R112" s="79">
        <f t="shared" si="5"/>
        <v>0.11004697626610109</v>
      </c>
      <c r="V112" s="96">
        <f>C111</f>
        <v>125</v>
      </c>
      <c r="X112" s="95">
        <f>M111</f>
        <v>3</v>
      </c>
    </row>
    <row r="113" spans="2:24" ht="15">
      <c r="B113" s="13" t="s">
        <v>45</v>
      </c>
      <c r="C113" s="14">
        <f>D22+D23</f>
        <v>625</v>
      </c>
      <c r="D113" s="15">
        <v>33.58</v>
      </c>
      <c r="E113" s="58">
        <f>D57*((D45/2)-C113)*((D45/2)-C113)/2</f>
        <v>533853.4469652676</v>
      </c>
      <c r="F113" s="59">
        <f>D57*((D45/2)-C113)</f>
        <v>552.5003332111437</v>
      </c>
      <c r="G113" s="60">
        <f>C23*E23/100</f>
        <v>35.63</v>
      </c>
      <c r="H113" s="60">
        <f>G113-2*C78</f>
        <v>33.63</v>
      </c>
      <c r="I113" s="58">
        <f>E113/I68</f>
        <v>667.3168087065845</v>
      </c>
      <c r="J113" s="60">
        <f t="shared" si="0"/>
        <v>32.404021550401765</v>
      </c>
      <c r="K113" s="61">
        <f t="shared" si="1"/>
        <v>0.6129892247991187</v>
      </c>
      <c r="L113" s="78">
        <f>K113*D113/K68</f>
        <v>25.730222710943</v>
      </c>
      <c r="M113" s="88">
        <f t="shared" si="2"/>
        <v>3</v>
      </c>
      <c r="N113" s="127">
        <f t="shared" si="3"/>
        <v>20.584178168754402</v>
      </c>
      <c r="O113" s="130">
        <f t="shared" si="4"/>
        <v>0.5077535168609549</v>
      </c>
      <c r="P113" s="121" t="str">
        <f>IF(O113&gt;I75,"Beschichtung notwendig!","keine Beschichtung")</f>
        <v>keine Beschichtung</v>
      </c>
      <c r="Q113" s="61">
        <f>F113/I71</f>
        <v>6.906254165139297</v>
      </c>
      <c r="R113" s="79">
        <f t="shared" si="5"/>
        <v>0.1065647693511929</v>
      </c>
      <c r="V113" s="96">
        <f>C112</f>
        <v>500</v>
      </c>
      <c r="X113" s="95">
        <f>M111</f>
        <v>3</v>
      </c>
    </row>
    <row r="114" spans="2:24" ht="15">
      <c r="B114" s="16" t="s">
        <v>49</v>
      </c>
      <c r="C114" s="17">
        <v>1000</v>
      </c>
      <c r="D114" s="15">
        <v>30.23</v>
      </c>
      <c r="E114" s="58">
        <f>D57*((D45/2)-C114)*((D45/2)-C114)/2</f>
        <v>346768.11421233503</v>
      </c>
      <c r="F114" s="59">
        <f>D57*((D45/2)-C114)</f>
        <v>445.2881081378299</v>
      </c>
      <c r="G114" s="60">
        <f>((G113-G115)*(C114-C115)/(C113-C115))+G115</f>
        <v>30.728</v>
      </c>
      <c r="H114" s="60">
        <f>G114-2*C78</f>
        <v>28.728</v>
      </c>
      <c r="I114" s="58">
        <f>E114/I68</f>
        <v>433.46014276541877</v>
      </c>
      <c r="J114" s="60">
        <f t="shared" si="0"/>
        <v>27.69291149682144</v>
      </c>
      <c r="K114" s="61">
        <f t="shared" si="1"/>
        <v>0.5175442515892801</v>
      </c>
      <c r="L114" s="78">
        <f>K114*D114/K68</f>
        <v>19.55670340692992</v>
      </c>
      <c r="M114" s="88">
        <f t="shared" si="2"/>
        <v>2</v>
      </c>
      <c r="N114" s="127">
        <f t="shared" si="3"/>
        <v>15.645362725543936</v>
      </c>
      <c r="O114" s="130">
        <f t="shared" si="4"/>
        <v>0.531905317605636</v>
      </c>
      <c r="P114" s="121" t="str">
        <f>IF(O114&gt;I75,"Beschichtung notwendig!","keine Beschichtung")</f>
        <v>keine Beschichtung</v>
      </c>
      <c r="Q114" s="61">
        <f>F114/I71</f>
        <v>5.566101351722874</v>
      </c>
      <c r="R114" s="79">
        <f t="shared" si="5"/>
        <v>0.10049686094511485</v>
      </c>
      <c r="V114" s="96">
        <f>C112</f>
        <v>500</v>
      </c>
      <c r="X114" s="95">
        <f>M112</f>
        <v>3</v>
      </c>
    </row>
    <row r="115" spans="2:24" ht="15">
      <c r="B115" s="13" t="s">
        <v>46</v>
      </c>
      <c r="C115" s="14">
        <f>D22+D23+D24</f>
        <v>1125</v>
      </c>
      <c r="D115" s="15">
        <v>28.44</v>
      </c>
      <c r="E115" s="58">
        <f>D57*((D45/2)-C115)*((D45/2)-C115)/2</f>
        <v>293340.688717467</v>
      </c>
      <c r="F115" s="59">
        <f>D57*((D45/2)-C115)</f>
        <v>409.55069978005866</v>
      </c>
      <c r="G115" s="60">
        <f>C24*E24/100</f>
        <v>29.094</v>
      </c>
      <c r="H115" s="60">
        <f>G115-2*C78</f>
        <v>27.094</v>
      </c>
      <c r="I115" s="58">
        <f>E115/I68</f>
        <v>366.67586089683374</v>
      </c>
      <c r="J115" s="60">
        <f t="shared" si="0"/>
        <v>26.106742115222897</v>
      </c>
      <c r="K115" s="61">
        <f t="shared" si="1"/>
        <v>0.49362894238855226</v>
      </c>
      <c r="L115" s="78">
        <f>K115*D115/K68</f>
        <v>17.54850890191303</v>
      </c>
      <c r="M115" s="88">
        <f t="shared" si="2"/>
        <v>2</v>
      </c>
      <c r="N115" s="127">
        <f t="shared" si="3"/>
        <v>14.038807121530427</v>
      </c>
      <c r="O115" s="130">
        <f t="shared" si="4"/>
        <v>0.5516014524656693</v>
      </c>
      <c r="P115" s="121" t="str">
        <f>IF(O115&gt;I75,"Beschichtung notwendig!","keine Beschichtung")</f>
        <v>keine Beschichtung</v>
      </c>
      <c r="Q115" s="61">
        <f>F115/I71</f>
        <v>5.119383747250733</v>
      </c>
      <c r="R115" s="79">
        <f t="shared" si="5"/>
        <v>0.09804715817577273</v>
      </c>
      <c r="V115" s="96">
        <f>C113</f>
        <v>625</v>
      </c>
      <c r="X115" s="95">
        <f>M112</f>
        <v>3</v>
      </c>
    </row>
    <row r="116" spans="2:24" ht="15">
      <c r="B116" s="16" t="s">
        <v>49</v>
      </c>
      <c r="C116" s="17">
        <v>1230</v>
      </c>
      <c r="D116" s="15">
        <v>27.96</v>
      </c>
      <c r="E116" s="58">
        <f>D57*((D45/2)-C116)*((D45/2)-C116)/2</f>
        <v>251913.88494913856</v>
      </c>
      <c r="F116" s="59">
        <f>D57*((D45/2)-C116)</f>
        <v>379.5312767595308</v>
      </c>
      <c r="G116" s="60">
        <f>((G115-G117)*(C116-C117)/(C115-C117))+G117</f>
        <v>27.316304347826087</v>
      </c>
      <c r="H116" s="60">
        <f>G116-2*C78</f>
        <v>25.316304347826087</v>
      </c>
      <c r="I116" s="58">
        <f>E116/I68</f>
        <v>314.8923561864232</v>
      </c>
      <c r="J116" s="60">
        <f t="shared" si="0"/>
        <v>24.39334197243426</v>
      </c>
      <c r="K116" s="61">
        <f t="shared" si="1"/>
        <v>0.46148118769591306</v>
      </c>
      <c r="L116" s="78">
        <f>K116*D116/K68</f>
        <v>16.12876750997216</v>
      </c>
      <c r="M116" s="88">
        <f t="shared" si="2"/>
        <v>2</v>
      </c>
      <c r="N116" s="127">
        <f t="shared" si="3"/>
        <v>12.90301400797773</v>
      </c>
      <c r="O116" s="130">
        <f t="shared" si="4"/>
        <v>0.5564665970694797</v>
      </c>
      <c r="P116" s="121" t="str">
        <f>IF(O116&gt;I75,"Beschichtung notwendig!","keine Beschichtung")</f>
        <v>keine Beschichtung</v>
      </c>
      <c r="Q116" s="61">
        <f>F116/I71</f>
        <v>4.744140959494135</v>
      </c>
      <c r="R116" s="79">
        <f t="shared" si="5"/>
        <v>0.09724253783789158</v>
      </c>
      <c r="V116" s="96">
        <f>C113</f>
        <v>625</v>
      </c>
      <c r="X116" s="95">
        <f>M113</f>
        <v>3</v>
      </c>
    </row>
    <row r="117" spans="2:24" ht="15">
      <c r="B117" s="13" t="s">
        <v>47</v>
      </c>
      <c r="C117" s="14">
        <f>D22+D23+D24+D25</f>
        <v>1355</v>
      </c>
      <c r="D117" s="15">
        <v>26.07</v>
      </c>
      <c r="E117" s="58">
        <f>D57*((D45/2)-C117)*((D45/2)-C117)/2</f>
        <v>206706.06337655793</v>
      </c>
      <c r="F117" s="59">
        <f>D57*((D45/2)-C117)</f>
        <v>343.79386840175954</v>
      </c>
      <c r="G117" s="60">
        <f>C25*E25/100</f>
        <v>25.2</v>
      </c>
      <c r="H117" s="60">
        <f>G117-2*C78</f>
        <v>23.2</v>
      </c>
      <c r="I117" s="58">
        <f>E117/I68</f>
        <v>258.3825792206974</v>
      </c>
      <c r="J117" s="60">
        <f t="shared" si="0"/>
        <v>22.3120419992026</v>
      </c>
      <c r="K117" s="61">
        <f t="shared" si="1"/>
        <v>0.4439790003987003</v>
      </c>
      <c r="L117" s="78">
        <f>K117*D117/K68</f>
        <v>14.468165675492646</v>
      </c>
      <c r="M117" s="88">
        <f t="shared" si="2"/>
        <v>2</v>
      </c>
      <c r="N117" s="127">
        <f t="shared" si="3"/>
        <v>11.574532540394117</v>
      </c>
      <c r="O117" s="130">
        <f t="shared" si="4"/>
        <v>0.5910412289804248</v>
      </c>
      <c r="P117" s="121" t="str">
        <f>IF(O117&gt;I75,"Beschichtung notwendig!","keine Beschichtung")</f>
        <v>keine Beschichtung</v>
      </c>
      <c r="Q117" s="61">
        <f>F117/I71</f>
        <v>4.297423355021994</v>
      </c>
      <c r="R117" s="79">
        <f t="shared" si="5"/>
        <v>0.09630278024699797</v>
      </c>
      <c r="V117" s="96">
        <f>C114</f>
        <v>1000</v>
      </c>
      <c r="X117" s="95">
        <f>M113</f>
        <v>3</v>
      </c>
    </row>
    <row r="118" spans="2:24" ht="15">
      <c r="B118" s="16" t="s">
        <v>49</v>
      </c>
      <c r="C118" s="17">
        <v>1855</v>
      </c>
      <c r="D118" s="15">
        <v>20.94</v>
      </c>
      <c r="E118" s="58">
        <f>D57*((D45/2)-C118)*((D45/2)-C118)/2</f>
        <v>70546.53753344942</v>
      </c>
      <c r="F118" s="59">
        <f>D57*((D45/2)-C118)</f>
        <v>200.8442349706745</v>
      </c>
      <c r="G118" s="60">
        <f>((G117-G119)*(C118-C119)/(C117-C119))+G119</f>
        <v>19.46666666666667</v>
      </c>
      <c r="H118" s="60">
        <f>G118-2*C78</f>
        <v>17.46666666666667</v>
      </c>
      <c r="I118" s="58">
        <f>E118/I68</f>
        <v>88.18317191681177</v>
      </c>
      <c r="J118" s="60">
        <f t="shared" si="0"/>
        <v>16.97050400067628</v>
      </c>
      <c r="K118" s="61">
        <f t="shared" si="1"/>
        <v>0.24808133299519497</v>
      </c>
      <c r="L118" s="78">
        <f>K118*D118/K68</f>
        <v>6.493528891149228</v>
      </c>
      <c r="M118" s="88">
        <f t="shared" si="2"/>
        <v>1</v>
      </c>
      <c r="N118" s="127">
        <f t="shared" si="3"/>
        <v>5.194823112919383</v>
      </c>
      <c r="O118" s="130">
        <f t="shared" si="4"/>
        <v>0.5651815191946707</v>
      </c>
      <c r="P118" s="121" t="str">
        <f>IF(O118&gt;I75,"Beschichtung notwendig!","keine Beschichtung")</f>
        <v>keine Beschichtung</v>
      </c>
      <c r="Q118" s="61">
        <f>F118/I71</f>
        <v>2.5105529371334314</v>
      </c>
      <c r="R118" s="79">
        <f t="shared" si="5"/>
        <v>0.07396813132460253</v>
      </c>
      <c r="V118" s="96">
        <f>C114</f>
        <v>1000</v>
      </c>
      <c r="X118" s="95">
        <f>M114</f>
        <v>2</v>
      </c>
    </row>
    <row r="119" spans="2:24" ht="15">
      <c r="B119" s="13" t="s">
        <v>142</v>
      </c>
      <c r="C119" s="14">
        <f>D22+D23+D24+D25+D26</f>
        <v>2255</v>
      </c>
      <c r="D119" s="15">
        <v>18.11</v>
      </c>
      <c r="E119" s="58">
        <f>D57*((D45/2)-C119)*((D45/2)-C119)/2</f>
        <v>13080.784894153227</v>
      </c>
      <c r="F119" s="59">
        <f>D57*((D45/2)-C119)</f>
        <v>86.48452822580646</v>
      </c>
      <c r="G119" s="60">
        <f>C26*E26/100</f>
        <v>14.88</v>
      </c>
      <c r="H119" s="60">
        <f>G119-2*C78</f>
        <v>12.88</v>
      </c>
      <c r="I119" s="58">
        <f>E119/I68</f>
        <v>16.350981117691532</v>
      </c>
      <c r="J119" s="60">
        <f t="shared" si="0"/>
        <v>12.73824841643484</v>
      </c>
      <c r="K119" s="61">
        <f t="shared" si="1"/>
        <v>0.07087579178257997</v>
      </c>
      <c r="L119" s="78">
        <f>K119*D119/K68</f>
        <v>1.604450736478154</v>
      </c>
      <c r="M119" s="88">
        <f t="shared" si="2"/>
        <v>1</v>
      </c>
      <c r="N119" s="127">
        <f t="shared" si="3"/>
        <v>1.2835605891825232</v>
      </c>
      <c r="O119" s="130">
        <f t="shared" si="4"/>
        <v>0.3748955248781403</v>
      </c>
      <c r="P119" s="121" t="str">
        <f>IF(O119&gt;I75,"Beschichtung notwendig!","keine Beschichtung")</f>
        <v>keine Beschichtung</v>
      </c>
      <c r="Q119" s="61">
        <f>F119/I71</f>
        <v>1.0810566028225808</v>
      </c>
      <c r="R119" s="79">
        <f t="shared" si="5"/>
        <v>0.04243348722214451</v>
      </c>
      <c r="V119" s="96">
        <f>C115</f>
        <v>1125</v>
      </c>
      <c r="X119" s="95">
        <f>M114</f>
        <v>2</v>
      </c>
    </row>
    <row r="120" spans="2:24" ht="15">
      <c r="B120" s="16" t="s">
        <v>49</v>
      </c>
      <c r="C120" s="17">
        <v>2285</v>
      </c>
      <c r="D120" s="15">
        <v>16.11</v>
      </c>
      <c r="E120" s="58">
        <f>D57*((D45/2)-C120)*((D45/2)-C120)/2</f>
        <v>10614.90371746701</v>
      </c>
      <c r="F120" s="59">
        <f>D57*((D45/2)-C120)</f>
        <v>77.90755021994136</v>
      </c>
      <c r="G120" s="60">
        <f>((G119-G121)*(C120-C121)/(C119-C121))+G121</f>
        <v>14.51107438016529</v>
      </c>
      <c r="H120" s="60">
        <f>G120-2*I80</f>
        <v>14.51107438016529</v>
      </c>
      <c r="I120" s="58">
        <f>E120/I68</f>
        <v>13.268629646833762</v>
      </c>
      <c r="J120" s="60">
        <f t="shared" si="0"/>
        <v>14.39665758453577</v>
      </c>
      <c r="K120" s="61">
        <f t="shared" si="1"/>
        <v>0.05720839781475995</v>
      </c>
      <c r="L120" s="78">
        <f>K120*D120/K68</f>
        <v>1.1520341109947283</v>
      </c>
      <c r="M120" s="88">
        <f t="shared" si="2"/>
        <v>1</v>
      </c>
      <c r="N120" s="127">
        <f t="shared" si="3"/>
        <v>0.9216272887957827</v>
      </c>
      <c r="O120" s="130">
        <f t="shared" si="4"/>
        <v>0.33590953561443454</v>
      </c>
      <c r="P120" s="121" t="str">
        <f>IF(O120&gt;I75,"Beschichtung notwendig!","keine Beschichtung")</f>
        <v>keine Beschichtung</v>
      </c>
      <c r="Q120" s="61">
        <f>F120/I71</f>
        <v>0.9738443777492669</v>
      </c>
      <c r="R120" s="79">
        <f t="shared" si="5"/>
        <v>0.03382189136717838</v>
      </c>
      <c r="V120" s="96">
        <f>C115</f>
        <v>1125</v>
      </c>
      <c r="X120" s="95">
        <f>M115</f>
        <v>2</v>
      </c>
    </row>
    <row r="121" spans="2:24" ht="15">
      <c r="B121" s="13" t="s">
        <v>141</v>
      </c>
      <c r="C121" s="14">
        <f>D22+D23+D24+D25+D26+D27+D28</f>
        <v>2557.5</v>
      </c>
      <c r="D121" s="15">
        <v>15</v>
      </c>
      <c r="E121" s="58">
        <f>D57*((D45/2)-C121)*((D45/2)-C121)/2</f>
        <v>0</v>
      </c>
      <c r="F121" s="59">
        <f>D57*((D45/2)-C121)</f>
        <v>0</v>
      </c>
      <c r="G121" s="60">
        <f>C27*E27/100</f>
        <v>11.16</v>
      </c>
      <c r="H121" s="60">
        <f>G121-2*I80</f>
        <v>11.16</v>
      </c>
      <c r="I121" s="58">
        <f>E121/I68</f>
        <v>0</v>
      </c>
      <c r="J121" s="60">
        <f t="shared" si="0"/>
        <v>11.16</v>
      </c>
      <c r="K121" s="61">
        <f t="shared" si="1"/>
        <v>0</v>
      </c>
      <c r="L121" s="78">
        <f>K121*D121/K68</f>
        <v>0</v>
      </c>
      <c r="M121" s="88">
        <f t="shared" si="2"/>
        <v>0</v>
      </c>
      <c r="N121" s="127">
        <f t="shared" si="3"/>
        <v>0</v>
      </c>
      <c r="O121" s="130">
        <f t="shared" si="4"/>
        <v>0</v>
      </c>
      <c r="P121" s="121" t="str">
        <f>IF(O121&gt;I75,"Beschichtung notwendig!","keine Beschichtung")</f>
        <v>keine Beschichtung</v>
      </c>
      <c r="Q121" s="61">
        <f>F121/I71</f>
        <v>0</v>
      </c>
      <c r="R121" s="79">
        <f t="shared" si="5"/>
        <v>0</v>
      </c>
      <c r="V121" s="96">
        <f>C116</f>
        <v>1230</v>
      </c>
      <c r="X121" s="95">
        <f>M115</f>
        <v>2</v>
      </c>
    </row>
    <row r="122" spans="17:24" ht="15">
      <c r="Q122" s="95"/>
      <c r="R122" s="95"/>
      <c r="S122" s="95"/>
      <c r="V122" s="96">
        <f>C116</f>
        <v>1230</v>
      </c>
      <c r="X122" s="95">
        <f>M116</f>
        <v>2</v>
      </c>
    </row>
    <row r="123" spans="22:24" ht="15">
      <c r="V123" s="96">
        <f>C117</f>
        <v>1355</v>
      </c>
      <c r="X123" s="95">
        <f>M116</f>
        <v>2</v>
      </c>
    </row>
    <row r="124" spans="2:24" ht="15">
      <c r="B124" t="s">
        <v>248</v>
      </c>
      <c r="V124" s="96">
        <f>C117</f>
        <v>1355</v>
      </c>
      <c r="X124" s="95">
        <f>M117</f>
        <v>2</v>
      </c>
    </row>
    <row r="125" spans="2:24" ht="15">
      <c r="B125" t="s">
        <v>252</v>
      </c>
      <c r="V125" s="96">
        <f>C118</f>
        <v>1855</v>
      </c>
      <c r="X125" s="95">
        <f>M117</f>
        <v>2</v>
      </c>
    </row>
    <row r="126" spans="2:24" ht="15">
      <c r="B126" s="5" t="s">
        <v>253</v>
      </c>
      <c r="C126" s="124">
        <f>1/2*E110*(D45/2*D45/2)/U68/W68</f>
        <v>33.140161487153954</v>
      </c>
      <c r="D126" t="s">
        <v>4</v>
      </c>
      <c r="V126" s="96">
        <f>C118</f>
        <v>1855</v>
      </c>
      <c r="X126" s="95">
        <f>M118</f>
        <v>1</v>
      </c>
    </row>
    <row r="127" spans="22:24" ht="15">
      <c r="V127" s="96">
        <f>C119</f>
        <v>2255</v>
      </c>
      <c r="X127" s="95">
        <f>M118</f>
        <v>1</v>
      </c>
    </row>
    <row r="128" spans="22:24" ht="15">
      <c r="V128" s="96">
        <f>C119</f>
        <v>2255</v>
      </c>
      <c r="X128" s="95">
        <f>M119</f>
        <v>1</v>
      </c>
    </row>
    <row r="129" spans="3:24" ht="15">
      <c r="C129" s="1"/>
      <c r="V129" s="96">
        <f>C120</f>
        <v>2285</v>
      </c>
      <c r="X129" s="95">
        <f>M119</f>
        <v>1</v>
      </c>
    </row>
    <row r="130" spans="3:24" ht="15">
      <c r="C130" s="1"/>
      <c r="V130" s="96">
        <f>C120</f>
        <v>2285</v>
      </c>
      <c r="X130" s="95">
        <f>M120</f>
        <v>1</v>
      </c>
    </row>
    <row r="131" spans="22:24" ht="15">
      <c r="V131" s="96">
        <f>C121</f>
        <v>2557.5</v>
      </c>
      <c r="X131" s="95">
        <f>M120</f>
        <v>1</v>
      </c>
    </row>
    <row r="132" spans="22:24" ht="15">
      <c r="V132" s="96">
        <f>C121</f>
        <v>2557.5</v>
      </c>
      <c r="X132" s="95">
        <f>M121</f>
        <v>0</v>
      </c>
    </row>
    <row r="133" ht="15">
      <c r="E133" s="5" t="s">
        <v>258</v>
      </c>
    </row>
    <row r="138" ht="20.25" customHeight="1"/>
    <row r="139" ht="20.25" customHeight="1"/>
  </sheetData>
  <sheetProtection/>
  <mergeCells count="15">
    <mergeCell ref="I107:N107"/>
    <mergeCell ref="O107:R107"/>
    <mergeCell ref="B106:I106"/>
    <mergeCell ref="B77:F77"/>
    <mergeCell ref="B11:I11"/>
    <mergeCell ref="B30:O30"/>
    <mergeCell ref="B52:F52"/>
    <mergeCell ref="K82:K83"/>
    <mergeCell ref="B55:F55"/>
    <mergeCell ref="B29:I29"/>
    <mergeCell ref="B80:F81"/>
    <mergeCell ref="I63:O65"/>
    <mergeCell ref="B19:F19"/>
    <mergeCell ref="B7:C7"/>
    <mergeCell ref="B9:I9"/>
  </mergeCells>
  <printOptions/>
  <pageMargins left="0.787401575" right="0.787401575" top="0.984251969" bottom="0.984251969" header="0.4921259845" footer="0.4921259845"/>
  <pageSetup fitToHeight="5" fitToWidth="1" horizontalDpi="300" verticalDpi="300" orientation="portrait" paperSize="9" scale="33"/>
  <rowBreaks count="1" manualBreakCount="1">
    <brk id="104" max="255" man="1"/>
  </rowBreaks>
  <colBreaks count="1" manualBreakCount="1">
    <brk id="15" max="65535" man="1"/>
  </colBreaks>
  <drawing r:id="rId6"/>
  <legacyDrawing r:id="rId5"/>
  <oleObjects>
    <oleObject progId="Word.Document.8" shapeId="1388377" r:id="rId2"/>
    <oleObject progId="Equation.3" shapeId="673100" r:id="rId3"/>
    <oleObject progId="Equation.3" shapeId="785828" r:id="rId4"/>
  </oleObjects>
</worksheet>
</file>

<file path=xl/worksheets/sheet2.xml><?xml version="1.0" encoding="utf-8"?>
<worksheet xmlns="http://schemas.openxmlformats.org/spreadsheetml/2006/main" xmlns:r="http://schemas.openxmlformats.org/officeDocument/2006/relationships">
  <sheetPr codeName="Tabelle2"/>
  <dimension ref="A1:P85"/>
  <sheetViews>
    <sheetView showFormulas="1" zoomScalePageLayoutView="0" workbookViewId="0" topLeftCell="B1">
      <selection activeCell="B7" sqref="B7"/>
    </sheetView>
  </sheetViews>
  <sheetFormatPr defaultColWidth="8.6640625" defaultRowHeight="15"/>
  <cols>
    <col min="1" max="1" width="12.6640625" style="0" customWidth="1"/>
    <col min="2" max="2" width="18.3359375" style="0" customWidth="1"/>
    <col min="3" max="3" width="3.4453125" style="0" customWidth="1"/>
    <col min="4" max="4" width="9.99609375" style="0" customWidth="1"/>
    <col min="5" max="5" width="6.3359375" style="0" customWidth="1"/>
    <col min="6" max="6" width="6.6640625" style="0" customWidth="1"/>
    <col min="7" max="7" width="4.6640625" style="0" customWidth="1"/>
    <col min="8" max="8" width="6.4453125" style="0" customWidth="1"/>
    <col min="9" max="9" width="4.88671875" style="0" customWidth="1"/>
    <col min="10" max="10" width="3.6640625" style="0" customWidth="1"/>
    <col min="11" max="11" width="7.10546875" style="0" customWidth="1"/>
    <col min="12" max="12" width="8.6640625" style="0" customWidth="1"/>
    <col min="13" max="13" width="11.3359375" style="0" customWidth="1"/>
    <col min="14" max="15" width="8.6640625" style="0" customWidth="1"/>
    <col min="16" max="16" width="40.10546875" style="0" customWidth="1"/>
  </cols>
  <sheetData>
    <row r="1" ht="18">
      <c r="A1" s="4" t="s">
        <v>89</v>
      </c>
    </row>
    <row r="3" spans="1:15" s="10" customFormat="1" ht="99.75">
      <c r="A3" s="23" t="s">
        <v>90</v>
      </c>
      <c r="B3" s="24"/>
      <c r="C3" s="24"/>
      <c r="D3" s="24" t="s">
        <v>91</v>
      </c>
      <c r="E3" s="25" t="s">
        <v>92</v>
      </c>
      <c r="F3" s="25" t="s">
        <v>209</v>
      </c>
      <c r="G3" s="25" t="s">
        <v>93</v>
      </c>
      <c r="H3" s="25" t="s">
        <v>94</v>
      </c>
      <c r="I3" s="25" t="s">
        <v>95</v>
      </c>
      <c r="J3" s="25" t="s">
        <v>96</v>
      </c>
      <c r="K3" s="25" t="s">
        <v>97</v>
      </c>
      <c r="L3" s="26" t="s">
        <v>175</v>
      </c>
      <c r="M3" s="10" t="s">
        <v>174</v>
      </c>
      <c r="N3" s="10" t="s">
        <v>196</v>
      </c>
      <c r="O3" s="10" t="s">
        <v>204</v>
      </c>
    </row>
    <row r="4" spans="1:13" ht="15">
      <c r="A4" s="86" t="s">
        <v>98</v>
      </c>
      <c r="B4" s="27" t="s">
        <v>131</v>
      </c>
      <c r="C4" s="27">
        <v>1</v>
      </c>
      <c r="D4" s="34" t="s">
        <v>132</v>
      </c>
      <c r="E4" s="29">
        <v>0.8</v>
      </c>
      <c r="F4" s="30">
        <v>1000</v>
      </c>
      <c r="G4" s="30"/>
      <c r="H4" s="30">
        <v>800</v>
      </c>
      <c r="I4" s="30"/>
      <c r="J4" s="30">
        <v>1</v>
      </c>
      <c r="K4" s="31">
        <v>1800</v>
      </c>
      <c r="L4" s="32">
        <v>80000</v>
      </c>
      <c r="M4" s="80">
        <v>800</v>
      </c>
    </row>
    <row r="5" spans="1:13" ht="15">
      <c r="A5" s="33"/>
      <c r="B5" s="27" t="s">
        <v>130</v>
      </c>
      <c r="C5" s="27">
        <v>2</v>
      </c>
      <c r="D5" s="34" t="s">
        <v>132</v>
      </c>
      <c r="E5" s="29">
        <v>1.5</v>
      </c>
      <c r="F5" s="30">
        <v>1000</v>
      </c>
      <c r="G5" s="30"/>
      <c r="H5" s="30">
        <v>800</v>
      </c>
      <c r="I5" s="30"/>
      <c r="J5" s="30">
        <v>1</v>
      </c>
      <c r="K5" s="31">
        <v>1800</v>
      </c>
      <c r="L5" s="32">
        <v>80000</v>
      </c>
      <c r="M5" s="80">
        <v>1600</v>
      </c>
    </row>
    <row r="6" spans="1:12" ht="15">
      <c r="A6" s="33"/>
      <c r="B6" s="27" t="s">
        <v>143</v>
      </c>
      <c r="C6" s="27">
        <v>3</v>
      </c>
      <c r="D6" s="34" t="s">
        <v>132</v>
      </c>
      <c r="E6" s="29">
        <v>2.5</v>
      </c>
      <c r="F6" s="30"/>
      <c r="G6" s="30"/>
      <c r="H6" s="30">
        <v>700</v>
      </c>
      <c r="I6" s="30"/>
      <c r="J6" s="30">
        <v>1</v>
      </c>
      <c r="K6" s="31"/>
      <c r="L6" s="32">
        <v>80000</v>
      </c>
    </row>
    <row r="7" spans="1:12" ht="15">
      <c r="A7" s="33"/>
      <c r="B7" s="27" t="s">
        <v>263</v>
      </c>
      <c r="C7" s="27">
        <v>4</v>
      </c>
      <c r="D7" s="34" t="s">
        <v>132</v>
      </c>
      <c r="E7" s="29">
        <v>0.884</v>
      </c>
      <c r="F7" s="30"/>
      <c r="G7" s="30"/>
      <c r="H7" s="30">
        <v>800</v>
      </c>
      <c r="I7" s="30"/>
      <c r="J7" s="30">
        <v>1.9</v>
      </c>
      <c r="K7" s="31">
        <v>1810</v>
      </c>
      <c r="L7" s="32">
        <v>80000</v>
      </c>
    </row>
    <row r="8" spans="1:12" ht="15">
      <c r="A8" s="33"/>
      <c r="B8" s="27" t="s">
        <v>133</v>
      </c>
      <c r="C8" s="27">
        <v>5</v>
      </c>
      <c r="D8" s="34" t="s">
        <v>134</v>
      </c>
      <c r="E8" s="29"/>
      <c r="F8" s="30"/>
      <c r="G8" s="30">
        <v>35</v>
      </c>
      <c r="H8" s="30">
        <v>192</v>
      </c>
      <c r="I8" s="30"/>
      <c r="J8" s="30">
        <v>3.3</v>
      </c>
      <c r="K8" s="31">
        <v>1450</v>
      </c>
      <c r="L8" s="32">
        <v>48000</v>
      </c>
    </row>
    <row r="9" spans="1:12" ht="15">
      <c r="A9" s="33"/>
      <c r="B9" s="27" t="s">
        <v>99</v>
      </c>
      <c r="C9" s="27">
        <v>6</v>
      </c>
      <c r="D9" s="34" t="s">
        <v>135</v>
      </c>
      <c r="E9" s="29">
        <v>1</v>
      </c>
      <c r="F9" s="30"/>
      <c r="G9" s="30"/>
      <c r="H9" s="30">
        <v>750</v>
      </c>
      <c r="I9" s="30">
        <v>30</v>
      </c>
      <c r="J9" s="30">
        <v>2.5</v>
      </c>
      <c r="K9" s="31">
        <v>2500</v>
      </c>
      <c r="L9" s="32">
        <v>30000</v>
      </c>
    </row>
    <row r="10" spans="1:12" ht="15">
      <c r="A10" s="35"/>
      <c r="B10" s="27" t="s">
        <v>100</v>
      </c>
      <c r="C10" s="27">
        <v>7</v>
      </c>
      <c r="D10" s="34" t="s">
        <v>135</v>
      </c>
      <c r="E10" s="29">
        <v>2</v>
      </c>
      <c r="F10" s="30"/>
      <c r="G10" s="30"/>
      <c r="H10" s="30">
        <v>750</v>
      </c>
      <c r="I10" s="30">
        <v>30</v>
      </c>
      <c r="J10" s="30">
        <v>2.5</v>
      </c>
      <c r="K10" s="31">
        <v>2500</v>
      </c>
      <c r="L10" s="32">
        <v>30000</v>
      </c>
    </row>
    <row r="11" spans="1:12" ht="15">
      <c r="A11" s="35"/>
      <c r="B11" s="27" t="s">
        <v>137</v>
      </c>
      <c r="C11" s="27">
        <v>8</v>
      </c>
      <c r="D11" s="34" t="s">
        <v>138</v>
      </c>
      <c r="E11" s="29">
        <v>5.7</v>
      </c>
      <c r="F11" s="30"/>
      <c r="G11" s="30"/>
      <c r="H11" s="30">
        <v>750</v>
      </c>
      <c r="I11" s="30"/>
      <c r="J11" s="30">
        <v>2.5</v>
      </c>
      <c r="K11" s="31">
        <v>2100</v>
      </c>
      <c r="L11" s="32">
        <v>50000</v>
      </c>
    </row>
    <row r="12" spans="1:12" ht="15">
      <c r="A12" s="35"/>
      <c r="B12" s="27" t="s">
        <v>86</v>
      </c>
      <c r="C12" s="27">
        <v>9</v>
      </c>
      <c r="D12" s="34" t="s">
        <v>104</v>
      </c>
      <c r="E12" s="29"/>
      <c r="F12" s="30">
        <v>65</v>
      </c>
      <c r="G12" s="30">
        <v>40</v>
      </c>
      <c r="H12" s="30">
        <v>70</v>
      </c>
      <c r="I12" s="30">
        <v>5</v>
      </c>
      <c r="J12" s="30">
        <v>0.7</v>
      </c>
      <c r="K12" s="31">
        <v>570</v>
      </c>
      <c r="L12" s="32">
        <v>10000</v>
      </c>
    </row>
    <row r="13" spans="1:15" ht="15">
      <c r="A13" s="35"/>
      <c r="B13" t="s">
        <v>198</v>
      </c>
      <c r="C13" s="27">
        <v>10</v>
      </c>
      <c r="D13" s="34" t="s">
        <v>203</v>
      </c>
      <c r="E13" s="29">
        <v>0.8</v>
      </c>
      <c r="F13" s="30"/>
      <c r="G13" s="30"/>
      <c r="H13" s="30">
        <v>800</v>
      </c>
      <c r="I13" s="30"/>
      <c r="J13" s="30">
        <v>1</v>
      </c>
      <c r="K13" s="31"/>
      <c r="L13" s="32">
        <v>135000</v>
      </c>
      <c r="M13">
        <v>800</v>
      </c>
      <c r="N13">
        <v>50</v>
      </c>
      <c r="O13" t="s">
        <v>193</v>
      </c>
    </row>
    <row r="14" spans="1:15" ht="15">
      <c r="A14" s="35"/>
      <c r="B14" t="s">
        <v>199</v>
      </c>
      <c r="C14" s="27">
        <v>11</v>
      </c>
      <c r="D14" s="34" t="s">
        <v>203</v>
      </c>
      <c r="E14" s="29">
        <v>0.8</v>
      </c>
      <c r="F14" s="30"/>
      <c r="G14" s="30"/>
      <c r="H14" s="30">
        <v>800</v>
      </c>
      <c r="I14" s="30"/>
      <c r="J14" s="30">
        <v>1</v>
      </c>
      <c r="K14" s="31"/>
      <c r="L14" s="32">
        <v>135000</v>
      </c>
      <c r="M14">
        <v>800</v>
      </c>
      <c r="N14">
        <v>80</v>
      </c>
      <c r="O14" t="s">
        <v>192</v>
      </c>
    </row>
    <row r="15" spans="1:15" ht="15">
      <c r="A15" s="35"/>
      <c r="B15" t="s">
        <v>200</v>
      </c>
      <c r="C15" s="27">
        <v>12</v>
      </c>
      <c r="D15" s="34" t="s">
        <v>203</v>
      </c>
      <c r="E15" s="29">
        <v>0.8</v>
      </c>
      <c r="F15" s="30"/>
      <c r="G15" s="30"/>
      <c r="H15" s="30">
        <v>800</v>
      </c>
      <c r="I15" s="30"/>
      <c r="J15" s="30">
        <v>1</v>
      </c>
      <c r="K15" s="31"/>
      <c r="L15" s="32">
        <v>135000</v>
      </c>
      <c r="M15">
        <v>800</v>
      </c>
      <c r="N15">
        <v>100</v>
      </c>
      <c r="O15" t="s">
        <v>192</v>
      </c>
    </row>
    <row r="16" spans="1:15" ht="15">
      <c r="A16" s="35"/>
      <c r="B16" t="s">
        <v>201</v>
      </c>
      <c r="C16" s="27">
        <v>13</v>
      </c>
      <c r="D16" s="34" t="s">
        <v>203</v>
      </c>
      <c r="E16" s="29">
        <v>0.8</v>
      </c>
      <c r="F16" s="30"/>
      <c r="G16" s="30"/>
      <c r="H16" s="30">
        <v>800</v>
      </c>
      <c r="I16" s="30"/>
      <c r="J16" s="30">
        <v>1</v>
      </c>
      <c r="K16" s="31"/>
      <c r="L16" s="32">
        <v>135000</v>
      </c>
      <c r="M16">
        <v>800</v>
      </c>
      <c r="N16">
        <v>125</v>
      </c>
      <c r="O16" t="s">
        <v>192</v>
      </c>
    </row>
    <row r="17" spans="1:15" ht="15">
      <c r="A17" s="35"/>
      <c r="B17" t="s">
        <v>187</v>
      </c>
      <c r="C17" s="27">
        <v>14</v>
      </c>
      <c r="D17" s="34" t="s">
        <v>203</v>
      </c>
      <c r="E17" s="29">
        <v>0.8</v>
      </c>
      <c r="F17" s="30"/>
      <c r="G17" s="30"/>
      <c r="H17" s="30">
        <v>800</v>
      </c>
      <c r="I17" s="30"/>
      <c r="J17" s="30">
        <v>1</v>
      </c>
      <c r="K17" s="31"/>
      <c r="L17" s="32">
        <v>135000</v>
      </c>
      <c r="M17">
        <v>800</v>
      </c>
      <c r="N17">
        <v>150</v>
      </c>
      <c r="O17" t="s">
        <v>192</v>
      </c>
    </row>
    <row r="18" spans="1:15" ht="15">
      <c r="A18" s="35"/>
      <c r="B18" t="s">
        <v>188</v>
      </c>
      <c r="C18" s="27">
        <v>15</v>
      </c>
      <c r="D18" s="34" t="s">
        <v>203</v>
      </c>
      <c r="E18" s="29">
        <v>0.8</v>
      </c>
      <c r="F18" s="30"/>
      <c r="G18" s="30"/>
      <c r="H18" s="30">
        <v>800</v>
      </c>
      <c r="I18" s="30"/>
      <c r="J18" s="30">
        <v>1</v>
      </c>
      <c r="K18" s="31"/>
      <c r="L18" s="32">
        <v>135000</v>
      </c>
      <c r="M18">
        <v>800</v>
      </c>
      <c r="N18">
        <v>200</v>
      </c>
      <c r="O18" t="s">
        <v>192</v>
      </c>
    </row>
    <row r="19" spans="1:16" ht="15">
      <c r="A19" s="35"/>
      <c r="B19" t="s">
        <v>189</v>
      </c>
      <c r="C19" s="27">
        <v>16</v>
      </c>
      <c r="D19" s="34" t="s">
        <v>203</v>
      </c>
      <c r="E19" s="29">
        <v>0.8</v>
      </c>
      <c r="F19" s="30"/>
      <c r="G19" s="30"/>
      <c r="H19" s="30">
        <v>800</v>
      </c>
      <c r="I19" s="30"/>
      <c r="J19" s="30">
        <v>0.4</v>
      </c>
      <c r="K19" s="31"/>
      <c r="L19" s="32">
        <v>230000</v>
      </c>
      <c r="M19">
        <v>800</v>
      </c>
      <c r="N19">
        <v>250</v>
      </c>
      <c r="O19" t="s">
        <v>191</v>
      </c>
      <c r="P19" t="s">
        <v>194</v>
      </c>
    </row>
    <row r="20" spans="1:15" ht="15">
      <c r="A20" s="35"/>
      <c r="B20" t="s">
        <v>202</v>
      </c>
      <c r="C20" s="27">
        <v>17</v>
      </c>
      <c r="D20" s="34" t="s">
        <v>203</v>
      </c>
      <c r="E20" s="29">
        <v>0.8</v>
      </c>
      <c r="F20" s="30"/>
      <c r="G20" s="30"/>
      <c r="H20" s="30">
        <v>800</v>
      </c>
      <c r="I20" s="30"/>
      <c r="J20" s="30">
        <v>1</v>
      </c>
      <c r="K20" s="31"/>
      <c r="L20" s="32">
        <v>135000</v>
      </c>
      <c r="M20">
        <v>800</v>
      </c>
      <c r="N20">
        <v>300</v>
      </c>
      <c r="O20" t="s">
        <v>192</v>
      </c>
    </row>
    <row r="21" spans="1:12" ht="15">
      <c r="A21" s="36" t="s">
        <v>101</v>
      </c>
      <c r="B21" s="36" t="s">
        <v>102</v>
      </c>
      <c r="C21" s="36">
        <v>1</v>
      </c>
      <c r="D21" s="28"/>
      <c r="E21" s="37"/>
      <c r="F21" s="38"/>
      <c r="G21" s="38"/>
      <c r="H21" s="38"/>
      <c r="I21" s="38"/>
      <c r="J21" s="38">
        <v>2.5</v>
      </c>
      <c r="K21" s="39"/>
      <c r="L21" s="40">
        <v>24000</v>
      </c>
    </row>
    <row r="22" spans="2:12" ht="15">
      <c r="B22" s="27" t="s">
        <v>85</v>
      </c>
      <c r="C22" s="27">
        <v>2</v>
      </c>
      <c r="D22" s="34"/>
      <c r="E22" s="29"/>
      <c r="F22" s="30"/>
      <c r="G22" s="30">
        <v>90</v>
      </c>
      <c r="H22" s="30">
        <v>90</v>
      </c>
      <c r="I22" s="30">
        <v>80</v>
      </c>
      <c r="J22" s="30">
        <v>3.5</v>
      </c>
      <c r="K22" s="31"/>
      <c r="L22" s="32">
        <v>15000</v>
      </c>
    </row>
    <row r="23" spans="2:12" ht="15">
      <c r="B23" s="19" t="s">
        <v>79</v>
      </c>
      <c r="C23" s="19">
        <v>3</v>
      </c>
      <c r="D23" s="20"/>
      <c r="E23" s="21"/>
      <c r="F23" s="22"/>
      <c r="G23" s="22">
        <v>200</v>
      </c>
      <c r="H23" s="22">
        <v>200</v>
      </c>
      <c r="I23" s="22">
        <v>90</v>
      </c>
      <c r="J23" s="22">
        <v>1.3</v>
      </c>
      <c r="K23" s="41"/>
      <c r="L23" s="42">
        <v>40000</v>
      </c>
    </row>
    <row r="24" spans="1:12" ht="15">
      <c r="A24" s="43" t="s">
        <v>103</v>
      </c>
      <c r="B24" s="44" t="s">
        <v>163</v>
      </c>
      <c r="C24" s="44">
        <v>1</v>
      </c>
      <c r="D24" s="34" t="s">
        <v>104</v>
      </c>
      <c r="E24" s="29"/>
      <c r="F24" s="30">
        <v>47</v>
      </c>
      <c r="G24" s="30">
        <v>30</v>
      </c>
      <c r="H24" s="30"/>
      <c r="I24" s="30"/>
      <c r="J24" s="30"/>
      <c r="K24" s="31">
        <v>400</v>
      </c>
      <c r="L24" s="32">
        <v>6000</v>
      </c>
    </row>
    <row r="25" spans="2:12" ht="15">
      <c r="B25" s="27" t="s">
        <v>155</v>
      </c>
      <c r="C25" s="27">
        <v>2</v>
      </c>
      <c r="D25" s="34" t="s">
        <v>104</v>
      </c>
      <c r="E25" s="29"/>
      <c r="F25" s="30">
        <v>21</v>
      </c>
      <c r="G25" s="30">
        <v>6</v>
      </c>
      <c r="H25" s="30">
        <v>12.3</v>
      </c>
      <c r="I25" s="30">
        <v>1.2</v>
      </c>
      <c r="J25" s="30">
        <v>0.7</v>
      </c>
      <c r="K25" s="31">
        <v>150</v>
      </c>
      <c r="L25" s="32">
        <v>3290</v>
      </c>
    </row>
    <row r="26" spans="1:12" ht="15">
      <c r="A26" s="27"/>
      <c r="B26" s="27" t="s">
        <v>156</v>
      </c>
      <c r="C26" s="27">
        <v>3</v>
      </c>
      <c r="D26" s="34" t="s">
        <v>105</v>
      </c>
      <c r="E26" s="29"/>
      <c r="F26" s="30"/>
      <c r="G26" s="30">
        <v>12</v>
      </c>
      <c r="H26" s="30">
        <v>0.7</v>
      </c>
      <c r="I26" s="30">
        <v>2.1</v>
      </c>
      <c r="J26" s="30"/>
      <c r="K26" s="31">
        <v>150</v>
      </c>
      <c r="L26" s="32"/>
    </row>
    <row r="27" spans="1:12" ht="15">
      <c r="A27" s="27"/>
      <c r="B27" s="27" t="s">
        <v>157</v>
      </c>
      <c r="C27" s="27">
        <v>4</v>
      </c>
      <c r="D27" s="34" t="s">
        <v>104</v>
      </c>
      <c r="E27" s="29"/>
      <c r="F27" s="30">
        <v>65</v>
      </c>
      <c r="G27" s="30">
        <v>7.7</v>
      </c>
      <c r="H27" s="30">
        <v>70</v>
      </c>
      <c r="I27" s="30">
        <v>5</v>
      </c>
      <c r="J27" s="30">
        <v>0.7</v>
      </c>
      <c r="K27" s="31">
        <v>570</v>
      </c>
      <c r="L27" s="32">
        <v>10000</v>
      </c>
    </row>
    <row r="28" spans="1:12" ht="15">
      <c r="A28" s="27"/>
      <c r="B28" s="27" t="s">
        <v>158</v>
      </c>
      <c r="C28" s="27">
        <v>5</v>
      </c>
      <c r="D28" s="34" t="s">
        <v>105</v>
      </c>
      <c r="E28" s="29"/>
      <c r="F28" s="30"/>
      <c r="G28" s="30">
        <v>40</v>
      </c>
      <c r="H28" s="30">
        <v>3</v>
      </c>
      <c r="I28" s="30">
        <v>10</v>
      </c>
      <c r="J28" s="30"/>
      <c r="K28" s="31">
        <v>570</v>
      </c>
      <c r="L28" s="32">
        <v>500</v>
      </c>
    </row>
    <row r="29" spans="1:12" ht="15">
      <c r="A29" s="27"/>
      <c r="B29" s="27" t="s">
        <v>159</v>
      </c>
      <c r="C29" s="27">
        <v>6</v>
      </c>
      <c r="D29" s="34" t="s">
        <v>104</v>
      </c>
      <c r="E29" s="29"/>
      <c r="F29" s="30">
        <v>105</v>
      </c>
      <c r="G29" s="30">
        <v>53</v>
      </c>
      <c r="H29" s="30">
        <v>135</v>
      </c>
      <c r="I29" s="30"/>
      <c r="J29" s="30"/>
      <c r="K29" s="31">
        <v>780</v>
      </c>
      <c r="L29" s="32">
        <v>16000</v>
      </c>
    </row>
    <row r="30" spans="1:12" ht="15">
      <c r="A30" s="27"/>
      <c r="B30" s="27" t="s">
        <v>160</v>
      </c>
      <c r="C30" s="27">
        <v>7</v>
      </c>
      <c r="D30" s="34" t="s">
        <v>105</v>
      </c>
      <c r="E30" s="29"/>
      <c r="F30" s="30"/>
      <c r="G30" s="30">
        <v>53</v>
      </c>
      <c r="H30" s="30">
        <v>7</v>
      </c>
      <c r="I30" s="30"/>
      <c r="J30" s="30"/>
      <c r="K30" s="31">
        <v>780</v>
      </c>
      <c r="L30" s="32">
        <v>1500</v>
      </c>
    </row>
    <row r="31" spans="1:12" ht="15">
      <c r="A31" s="27"/>
      <c r="B31" s="27" t="s">
        <v>161</v>
      </c>
      <c r="C31" s="27">
        <v>8</v>
      </c>
      <c r="D31" s="34" t="s">
        <v>104</v>
      </c>
      <c r="E31" s="29"/>
      <c r="F31" s="30">
        <v>55</v>
      </c>
      <c r="G31" s="30">
        <v>12</v>
      </c>
      <c r="H31" s="30">
        <v>75</v>
      </c>
      <c r="I31" s="30"/>
      <c r="J31" s="30"/>
      <c r="K31" s="31">
        <v>450</v>
      </c>
      <c r="L31" s="32">
        <v>9000</v>
      </c>
    </row>
    <row r="32" spans="1:12" ht="15">
      <c r="A32" s="27"/>
      <c r="B32" s="27" t="s">
        <v>162</v>
      </c>
      <c r="C32" s="27">
        <v>9</v>
      </c>
      <c r="D32" s="34" t="s">
        <v>105</v>
      </c>
      <c r="E32" s="29"/>
      <c r="F32" s="30"/>
      <c r="G32" s="30">
        <v>37</v>
      </c>
      <c r="H32" s="30">
        <v>10</v>
      </c>
      <c r="I32" s="30"/>
      <c r="J32" s="30"/>
      <c r="K32" s="31">
        <v>450</v>
      </c>
      <c r="L32" s="32">
        <v>350</v>
      </c>
    </row>
    <row r="33" spans="1:12" ht="15">
      <c r="A33" s="27"/>
      <c r="B33" s="36" t="s">
        <v>83</v>
      </c>
      <c r="C33" s="36">
        <v>10</v>
      </c>
      <c r="D33" s="28"/>
      <c r="E33" s="37"/>
      <c r="F33" s="38">
        <v>80</v>
      </c>
      <c r="G33" s="38">
        <v>52</v>
      </c>
      <c r="H33" s="38">
        <v>132</v>
      </c>
      <c r="I33" s="38">
        <v>20</v>
      </c>
      <c r="J33" s="38">
        <v>1</v>
      </c>
      <c r="K33" s="39">
        <v>650</v>
      </c>
      <c r="L33" s="40">
        <v>8000</v>
      </c>
    </row>
    <row r="34" spans="1:12" ht="15">
      <c r="A34" s="27"/>
      <c r="B34" s="27" t="s">
        <v>84</v>
      </c>
      <c r="C34" s="27">
        <v>11</v>
      </c>
      <c r="D34" s="34"/>
      <c r="E34" s="29"/>
      <c r="F34" s="30">
        <v>80</v>
      </c>
      <c r="G34" s="30">
        <v>56</v>
      </c>
      <c r="H34" s="30">
        <v>117</v>
      </c>
      <c r="I34" s="30">
        <v>20</v>
      </c>
      <c r="J34" s="30"/>
      <c r="K34" s="31">
        <v>725</v>
      </c>
      <c r="L34" s="32">
        <v>10000</v>
      </c>
    </row>
    <row r="35" spans="1:12" ht="15">
      <c r="A35" s="27"/>
      <c r="B35" s="36" t="s">
        <v>81</v>
      </c>
      <c r="C35" s="36">
        <v>12</v>
      </c>
      <c r="D35" s="28"/>
      <c r="E35" s="37"/>
      <c r="F35" s="38">
        <v>0.8</v>
      </c>
      <c r="G35" s="38">
        <v>0.4</v>
      </c>
      <c r="H35" s="38">
        <v>1</v>
      </c>
      <c r="I35" s="38">
        <v>0.4</v>
      </c>
      <c r="J35" s="38">
        <v>3.5</v>
      </c>
      <c r="K35" s="39">
        <v>30</v>
      </c>
      <c r="L35" s="40">
        <v>36</v>
      </c>
    </row>
    <row r="36" spans="1:12" ht="15">
      <c r="A36" s="27"/>
      <c r="B36" s="27" t="s">
        <v>80</v>
      </c>
      <c r="C36" s="27">
        <v>13</v>
      </c>
      <c r="D36" s="34"/>
      <c r="E36" s="29"/>
      <c r="F36" s="30">
        <v>1.6</v>
      </c>
      <c r="G36" s="30">
        <v>0.9</v>
      </c>
      <c r="H36" s="30">
        <v>1.9</v>
      </c>
      <c r="I36" s="30">
        <v>0.8</v>
      </c>
      <c r="J36" s="30">
        <v>4</v>
      </c>
      <c r="K36" s="31">
        <v>50</v>
      </c>
      <c r="L36" s="32">
        <v>70</v>
      </c>
    </row>
    <row r="37" spans="1:12" ht="15">
      <c r="A37" s="27"/>
      <c r="B37" s="27" t="s">
        <v>82</v>
      </c>
      <c r="C37" s="27">
        <v>14</v>
      </c>
      <c r="D37" s="34"/>
      <c r="E37" s="29"/>
      <c r="F37" s="30">
        <v>2.5</v>
      </c>
      <c r="G37" s="30">
        <v>1.5</v>
      </c>
      <c r="H37" s="30">
        <v>2.8</v>
      </c>
      <c r="I37" s="30">
        <v>1.3</v>
      </c>
      <c r="J37" s="30">
        <v>4.5</v>
      </c>
      <c r="K37" s="31">
        <v>70</v>
      </c>
      <c r="L37" s="32">
        <v>92</v>
      </c>
    </row>
    <row r="38" spans="1:12" ht="15">
      <c r="A38" s="27"/>
      <c r="B38" s="27" t="s">
        <v>149</v>
      </c>
      <c r="C38" s="27">
        <v>15</v>
      </c>
      <c r="D38" s="34" t="s">
        <v>106</v>
      </c>
      <c r="E38" s="29"/>
      <c r="F38" s="30"/>
      <c r="G38" s="30">
        <v>0.3</v>
      </c>
      <c r="H38" s="30"/>
      <c r="I38" s="30"/>
      <c r="J38" s="30"/>
      <c r="K38" s="31">
        <v>20</v>
      </c>
      <c r="L38" s="32"/>
    </row>
    <row r="39" spans="1:12" ht="15">
      <c r="A39" s="27"/>
      <c r="B39" s="27" t="s">
        <v>150</v>
      </c>
      <c r="C39" s="27">
        <v>16</v>
      </c>
      <c r="D39" s="34" t="s">
        <v>107</v>
      </c>
      <c r="E39" s="29"/>
      <c r="F39" s="30"/>
      <c r="G39" s="30">
        <v>0.5</v>
      </c>
      <c r="H39" s="30"/>
      <c r="I39" s="30"/>
      <c r="J39" s="30"/>
      <c r="K39" s="31">
        <v>30</v>
      </c>
      <c r="L39" s="32"/>
    </row>
    <row r="40" spans="1:12" ht="15">
      <c r="A40" s="27"/>
      <c r="B40" s="27" t="s">
        <v>108</v>
      </c>
      <c r="C40" s="27">
        <v>17</v>
      </c>
      <c r="D40" s="34"/>
      <c r="E40" s="29"/>
      <c r="F40" s="30"/>
      <c r="G40" s="30">
        <v>0.3</v>
      </c>
      <c r="H40" s="30"/>
      <c r="I40" s="30"/>
      <c r="J40" s="30"/>
      <c r="K40" s="31">
        <v>32</v>
      </c>
      <c r="L40" s="32"/>
    </row>
    <row r="41" spans="1:12" ht="15">
      <c r="A41" s="27"/>
      <c r="B41" s="27" t="s">
        <v>151</v>
      </c>
      <c r="C41" s="27">
        <v>18</v>
      </c>
      <c r="D41" s="34">
        <v>30</v>
      </c>
      <c r="E41" s="29"/>
      <c r="F41" s="30">
        <v>0.45</v>
      </c>
      <c r="G41" s="30">
        <v>0.25</v>
      </c>
      <c r="H41" s="30">
        <v>0.45</v>
      </c>
      <c r="I41" s="30">
        <v>1.2</v>
      </c>
      <c r="J41" s="30"/>
      <c r="K41" s="31">
        <v>30</v>
      </c>
      <c r="L41" s="32"/>
    </row>
    <row r="42" spans="1:12" ht="15">
      <c r="A42" s="27"/>
      <c r="B42" s="27" t="s">
        <v>152</v>
      </c>
      <c r="C42" s="27">
        <v>19</v>
      </c>
      <c r="D42" s="34">
        <v>40</v>
      </c>
      <c r="E42" s="29"/>
      <c r="F42" s="30">
        <v>0.6</v>
      </c>
      <c r="G42" s="30">
        <v>0.35</v>
      </c>
      <c r="H42" s="30">
        <v>0.7</v>
      </c>
      <c r="I42" s="30">
        <v>2.1</v>
      </c>
      <c r="J42" s="30"/>
      <c r="K42" s="31">
        <v>40</v>
      </c>
      <c r="L42" s="32"/>
    </row>
    <row r="43" spans="1:12" ht="15">
      <c r="A43" s="27"/>
      <c r="B43" s="27" t="s">
        <v>153</v>
      </c>
      <c r="C43" s="27">
        <v>20</v>
      </c>
      <c r="D43" s="34">
        <v>60</v>
      </c>
      <c r="E43" s="29"/>
      <c r="F43" s="30">
        <v>1.2</v>
      </c>
      <c r="G43" s="30">
        <v>0.8</v>
      </c>
      <c r="H43" s="30">
        <v>1.6</v>
      </c>
      <c r="I43" s="30">
        <v>2.8</v>
      </c>
      <c r="J43" s="30"/>
      <c r="K43" s="31">
        <v>60</v>
      </c>
      <c r="L43" s="32"/>
    </row>
    <row r="44" spans="1:12" ht="15">
      <c r="A44" s="27"/>
      <c r="B44" s="27" t="s">
        <v>154</v>
      </c>
      <c r="C44" s="27">
        <v>21</v>
      </c>
      <c r="D44" s="34">
        <v>80</v>
      </c>
      <c r="E44" s="29"/>
      <c r="F44" s="30">
        <v>1.8</v>
      </c>
      <c r="G44" s="30">
        <v>1.2</v>
      </c>
      <c r="H44" s="30">
        <v>2</v>
      </c>
      <c r="I44" s="30">
        <v>3.8</v>
      </c>
      <c r="J44" s="30"/>
      <c r="K44" s="31">
        <v>80</v>
      </c>
      <c r="L44" s="32"/>
    </row>
    <row r="45" spans="1:12" ht="15">
      <c r="A45" s="27"/>
      <c r="B45" s="36" t="s">
        <v>109</v>
      </c>
      <c r="C45" s="36"/>
      <c r="D45" s="28">
        <v>99.5</v>
      </c>
      <c r="E45" s="37"/>
      <c r="F45" s="38"/>
      <c r="G45" s="38"/>
      <c r="H45" s="38">
        <v>200</v>
      </c>
      <c r="I45" s="38">
        <v>250</v>
      </c>
      <c r="J45" s="38">
        <v>30</v>
      </c>
      <c r="K45" s="39"/>
      <c r="L45" s="40">
        <v>110000</v>
      </c>
    </row>
    <row r="46" spans="1:12" ht="15">
      <c r="A46" s="27"/>
      <c r="B46" s="45" t="s">
        <v>110</v>
      </c>
      <c r="C46" s="45"/>
      <c r="D46" s="34" t="s">
        <v>111</v>
      </c>
      <c r="E46" s="46"/>
      <c r="F46" s="31"/>
      <c r="G46" s="31"/>
      <c r="H46" s="31">
        <v>170</v>
      </c>
      <c r="I46" s="47">
        <v>140</v>
      </c>
      <c r="J46" s="47">
        <v>3</v>
      </c>
      <c r="K46" s="47">
        <v>2700</v>
      </c>
      <c r="L46" s="32">
        <v>71000</v>
      </c>
    </row>
    <row r="47" spans="1:12" ht="15">
      <c r="A47" s="27"/>
      <c r="B47" s="27" t="s">
        <v>87</v>
      </c>
      <c r="C47" s="27"/>
      <c r="D47" s="34"/>
      <c r="E47" s="46"/>
      <c r="F47" s="31"/>
      <c r="G47" s="31"/>
      <c r="H47" s="31">
        <v>1200</v>
      </c>
      <c r="I47" s="31"/>
      <c r="J47" s="31"/>
      <c r="K47" s="31">
        <v>7850</v>
      </c>
      <c r="L47" s="32">
        <v>210000</v>
      </c>
    </row>
    <row r="48" spans="1:12" ht="15">
      <c r="A48" s="27"/>
      <c r="B48" s="48" t="s">
        <v>112</v>
      </c>
      <c r="C48" s="48"/>
      <c r="D48" s="20"/>
      <c r="E48" s="49"/>
      <c r="F48" s="41">
        <v>500</v>
      </c>
      <c r="G48" s="41">
        <v>350</v>
      </c>
      <c r="H48" s="41"/>
      <c r="I48" s="41"/>
      <c r="J48" s="41"/>
      <c r="K48" s="41">
        <v>7850</v>
      </c>
      <c r="L48" s="42">
        <v>210000</v>
      </c>
    </row>
    <row r="49" spans="1:2" ht="15">
      <c r="A49" s="19"/>
      <c r="B49" t="s">
        <v>113</v>
      </c>
    </row>
    <row r="50" ht="28.5" customHeight="1">
      <c r="B50" s="122" t="s">
        <v>246</v>
      </c>
    </row>
    <row r="51" ht="27" customHeight="1">
      <c r="B51" s="122" t="s">
        <v>247</v>
      </c>
    </row>
    <row r="53" spans="1:4" ht="15">
      <c r="A53" t="s">
        <v>114</v>
      </c>
      <c r="B53" t="s">
        <v>78</v>
      </c>
      <c r="D53" t="s">
        <v>115</v>
      </c>
    </row>
    <row r="54" spans="2:4" ht="15">
      <c r="B54" t="s">
        <v>116</v>
      </c>
      <c r="D54">
        <v>3.5</v>
      </c>
    </row>
    <row r="55" spans="2:4" ht="15">
      <c r="B55" t="s">
        <v>117</v>
      </c>
      <c r="D55">
        <v>3.5</v>
      </c>
    </row>
    <row r="56" spans="2:4" ht="15">
      <c r="B56" t="s">
        <v>118</v>
      </c>
      <c r="D56">
        <v>5</v>
      </c>
    </row>
    <row r="60" spans="6:11" ht="15">
      <c r="F60" t="s">
        <v>235</v>
      </c>
      <c r="G60" t="s">
        <v>236</v>
      </c>
      <c r="H60" t="s">
        <v>237</v>
      </c>
      <c r="I60" t="s">
        <v>240</v>
      </c>
      <c r="J60" t="s">
        <v>241</v>
      </c>
      <c r="K60" t="s">
        <v>242</v>
      </c>
    </row>
    <row r="61" spans="1:11" ht="15.75" customHeight="1">
      <c r="A61" s="157" t="s">
        <v>215</v>
      </c>
      <c r="B61" s="157"/>
      <c r="C61" s="157"/>
      <c r="D61" s="10"/>
      <c r="F61" t="s">
        <v>232</v>
      </c>
      <c r="G61">
        <v>0.007</v>
      </c>
      <c r="H61" t="s">
        <v>239</v>
      </c>
      <c r="I61">
        <v>0.924</v>
      </c>
      <c r="J61">
        <f>I61*100/60</f>
        <v>1.54</v>
      </c>
      <c r="K61">
        <v>1.5</v>
      </c>
    </row>
    <row r="62" spans="1:11" ht="18" customHeight="1">
      <c r="A62" s="157" t="s">
        <v>216</v>
      </c>
      <c r="B62" s="157"/>
      <c r="C62" s="157"/>
      <c r="D62" s="10"/>
      <c r="F62" t="s">
        <v>233</v>
      </c>
      <c r="G62">
        <v>0.005</v>
      </c>
      <c r="H62" t="s">
        <v>238</v>
      </c>
      <c r="I62">
        <v>0.471</v>
      </c>
      <c r="J62">
        <f>I62*100/60</f>
        <v>0.7849999999999999</v>
      </c>
      <c r="K62">
        <v>0.8</v>
      </c>
    </row>
    <row r="63" spans="1:11" ht="17.25" customHeight="1">
      <c r="A63" s="157" t="s">
        <v>217</v>
      </c>
      <c r="B63" s="157"/>
      <c r="C63" s="157"/>
      <c r="D63" s="10"/>
      <c r="F63" t="s">
        <v>234</v>
      </c>
      <c r="G63">
        <v>0.005</v>
      </c>
      <c r="H63" t="s">
        <v>238</v>
      </c>
      <c r="I63">
        <v>0.471</v>
      </c>
      <c r="J63">
        <v>0.7849999999999999</v>
      </c>
      <c r="K63">
        <v>0.8</v>
      </c>
    </row>
    <row r="85" ht="15">
      <c r="B85" t="s">
        <v>218</v>
      </c>
    </row>
  </sheetData>
  <sheetProtection/>
  <mergeCells count="3">
    <mergeCell ref="A61:C61"/>
    <mergeCell ref="A62:C62"/>
    <mergeCell ref="A63:C63"/>
  </mergeCells>
  <printOptions/>
  <pageMargins left="0.787401575" right="0.787401575" top="0.984251969" bottom="0.984251969"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sheetPr codeName="Tabelle5">
    <pageSetUpPr fitToPage="1"/>
  </sheetPr>
  <dimension ref="A1:R69"/>
  <sheetViews>
    <sheetView zoomScale="75" zoomScaleNormal="75" zoomScalePageLayoutView="0" workbookViewId="0" topLeftCell="A28">
      <selection activeCell="F59" sqref="F59"/>
    </sheetView>
  </sheetViews>
  <sheetFormatPr defaultColWidth="11.5546875" defaultRowHeight="15"/>
  <cols>
    <col min="1" max="1" width="41.99609375" style="0" customWidth="1"/>
    <col min="2" max="2" width="14.6640625" style="0" customWidth="1"/>
    <col min="4" max="4" width="15.6640625" style="0" customWidth="1"/>
    <col min="5" max="5" width="11.3359375" style="0" customWidth="1"/>
    <col min="13" max="13" width="12.10546875" style="0" customWidth="1"/>
    <col min="14" max="14" width="15.3359375" style="0" customWidth="1"/>
    <col min="15" max="15" width="12.4453125" style="0" customWidth="1"/>
    <col min="16" max="16" width="13.3359375" style="0" customWidth="1"/>
    <col min="17" max="17" width="11.99609375" style="0" customWidth="1"/>
    <col min="18" max="18" width="13.88671875" style="0" customWidth="1"/>
  </cols>
  <sheetData>
    <row r="1" ht="30">
      <c r="A1" s="117" t="s">
        <v>70</v>
      </c>
    </row>
    <row r="3" spans="1:9" ht="62.25" customHeight="1">
      <c r="A3" s="152" t="s">
        <v>125</v>
      </c>
      <c r="B3" s="152"/>
      <c r="C3" s="152"/>
      <c r="D3" s="152"/>
      <c r="E3" s="152"/>
      <c r="F3" s="152"/>
      <c r="G3" s="152"/>
      <c r="H3" s="152"/>
      <c r="I3" s="152"/>
    </row>
    <row r="4" spans="1:9" ht="23.25" customHeight="1">
      <c r="A4" s="11" t="s">
        <v>119</v>
      </c>
      <c r="B4" s="11"/>
      <c r="C4" s="11"/>
      <c r="D4" s="11"/>
      <c r="E4" s="11"/>
      <c r="F4" s="11"/>
      <c r="G4" s="11"/>
      <c r="H4" s="11"/>
      <c r="I4" s="11"/>
    </row>
    <row r="5" ht="18" customHeight="1">
      <c r="A5" t="s">
        <v>127</v>
      </c>
    </row>
    <row r="7" ht="15">
      <c r="A7" t="s">
        <v>121</v>
      </c>
    </row>
    <row r="9" ht="15">
      <c r="A9" t="s">
        <v>120</v>
      </c>
    </row>
    <row r="11" ht="15">
      <c r="A11" t="s">
        <v>122</v>
      </c>
    </row>
    <row r="13" spans="4:18" ht="42.75" customHeight="1">
      <c r="D13" s="158" t="s">
        <v>126</v>
      </c>
      <c r="E13" s="159"/>
      <c r="F13" s="159"/>
      <c r="G13" s="159"/>
      <c r="H13" s="159"/>
      <c r="I13" s="159"/>
      <c r="J13" s="159"/>
      <c r="K13" s="159"/>
      <c r="L13" s="160"/>
      <c r="M13" s="158" t="s">
        <v>71</v>
      </c>
      <c r="N13" s="159"/>
      <c r="O13" s="159"/>
      <c r="P13" s="159"/>
      <c r="Q13" s="159"/>
      <c r="R13" s="160"/>
    </row>
    <row r="14" spans="1:18" ht="105" customHeight="1">
      <c r="A14" s="12" t="s">
        <v>50</v>
      </c>
      <c r="B14" s="12" t="s">
        <v>51</v>
      </c>
      <c r="C14" s="50" t="s">
        <v>52</v>
      </c>
      <c r="D14" s="161" t="s">
        <v>72</v>
      </c>
      <c r="E14" s="161"/>
      <c r="F14" s="161"/>
      <c r="G14" s="162" t="s">
        <v>73</v>
      </c>
      <c r="H14" s="162"/>
      <c r="I14" s="162"/>
      <c r="J14" s="162" t="s">
        <v>74</v>
      </c>
      <c r="K14" s="162"/>
      <c r="L14" s="162"/>
      <c r="M14" s="161" t="s">
        <v>72</v>
      </c>
      <c r="N14" s="161"/>
      <c r="O14" s="162" t="s">
        <v>73</v>
      </c>
      <c r="P14" s="162"/>
      <c r="Q14" s="162" t="s">
        <v>74</v>
      </c>
      <c r="R14" s="162"/>
    </row>
    <row r="15" spans="1:18" ht="108.75" customHeight="1">
      <c r="A15" s="12"/>
      <c r="B15" s="12" t="s">
        <v>43</v>
      </c>
      <c r="C15" s="50" t="s">
        <v>48</v>
      </c>
      <c r="D15" s="51" t="s">
        <v>75</v>
      </c>
      <c r="E15" s="51" t="s">
        <v>124</v>
      </c>
      <c r="F15" s="51" t="s">
        <v>76</v>
      </c>
      <c r="G15" s="51" t="s">
        <v>75</v>
      </c>
      <c r="H15" s="51" t="s">
        <v>124</v>
      </c>
      <c r="I15" s="51" t="s">
        <v>76</v>
      </c>
      <c r="J15" s="51" t="s">
        <v>75</v>
      </c>
      <c r="K15" s="51" t="s">
        <v>124</v>
      </c>
      <c r="L15" s="51" t="s">
        <v>76</v>
      </c>
      <c r="M15" s="51" t="s">
        <v>77</v>
      </c>
      <c r="N15" s="51" t="s">
        <v>123</v>
      </c>
      <c r="O15" s="51" t="s">
        <v>77</v>
      </c>
      <c r="P15" s="51" t="s">
        <v>123</v>
      </c>
      <c r="Q15" s="51" t="s">
        <v>77</v>
      </c>
      <c r="R15" s="51" t="s">
        <v>123</v>
      </c>
    </row>
    <row r="16" spans="1:18" ht="15">
      <c r="A16" s="13" t="s">
        <v>42</v>
      </c>
      <c r="B16" s="14">
        <v>0</v>
      </c>
      <c r="C16" s="53">
        <f>'Berechnung der Werte'!D110</f>
        <v>40</v>
      </c>
      <c r="D16" s="99">
        <f>('Berechnung der Werte'!E110*6)/(Materialdaten!H5*('Berechnung der Werte'!J110-3)*('Berechnung der Werte'!J110-3))</f>
        <v>6.327449362994478</v>
      </c>
      <c r="E16" s="54">
        <f>'Berechnung der Werte'!D110-3</f>
        <v>37</v>
      </c>
      <c r="F16" s="99">
        <f>'Berechnung der Werte'!J110-3</f>
        <v>33.29074069055882</v>
      </c>
      <c r="G16" s="99">
        <f>('Berechnung der Werte'!E110*6)/(Materialdaten!H9*('Berechnung der Werte'!J110-3)*('Berechnung der Werte'!J110-3))</f>
        <v>6.749279320527443</v>
      </c>
      <c r="H16" s="54">
        <f>'Berechnung der Werte'!D110-3</f>
        <v>37</v>
      </c>
      <c r="I16" s="99">
        <f>'Berechnung der Werte'!J110-3</f>
        <v>33.29074069055882</v>
      </c>
      <c r="J16" s="99">
        <f>('Berechnung der Werte'!E110*6)/(Materialdaten!H47*('Berechnung der Werte'!J110-3)*('Berechnung der Werte'!J110-3))</f>
        <v>4.2182995753296515</v>
      </c>
      <c r="K16" s="52">
        <f>'Berechnung der Werte'!D110-3</f>
        <v>37</v>
      </c>
      <c r="L16" s="99">
        <f>'Berechnung der Werte'!J110-3</f>
        <v>33.29074069055882</v>
      </c>
      <c r="M16" s="99">
        <f>(('Berechnung der Werte'!E110/(Materialdaten!H5*0.1)))^(1/3)</f>
        <v>22.693846584075178</v>
      </c>
      <c r="N16" s="52">
        <f>'Berechnung der Werte'!D110-3</f>
        <v>37</v>
      </c>
      <c r="O16" s="99">
        <f>(('Berechnung der Werte'!E110/(Materialdaten!H9*0.1)))^(1/3)</f>
        <v>23.18734492622537</v>
      </c>
      <c r="P16" s="52">
        <f>'Berechnung der Werte'!D110-3</f>
        <v>37</v>
      </c>
      <c r="Q16" s="99">
        <f>(('Berechnung der Werte'!E110/(Materialdaten!H47*0.1)))^(1/3)</f>
        <v>19.824901045570655</v>
      </c>
      <c r="R16" s="52">
        <f>'Berechnung der Werte'!D110-3</f>
        <v>37</v>
      </c>
    </row>
    <row r="17" spans="1:18" ht="15">
      <c r="A17" s="13" t="s">
        <v>44</v>
      </c>
      <c r="B17" s="14">
        <f>'Berechnung der Werte'!C111</f>
        <v>125</v>
      </c>
      <c r="C17" s="53">
        <f>'Berechnung der Werte'!D111</f>
        <v>40</v>
      </c>
      <c r="D17" s="99">
        <f>('Berechnung der Werte'!E111*6)/(Materialdaten!H5*('Berechnung der Werte'!J111-3)*('Berechnung der Werte'!J111-3))</f>
        <v>5.669531969397045</v>
      </c>
      <c r="E17" s="54">
        <f>'Berechnung der Werte'!D111-3</f>
        <v>37</v>
      </c>
      <c r="F17" s="99">
        <f>'Berechnung der Werte'!J111-3</f>
        <v>33.450406465905225</v>
      </c>
      <c r="G17" s="99">
        <f>('Berechnung der Werte'!E111*6)/(Materialdaten!H9*('Berechnung der Werte'!J111-3)*('Berechnung der Werte'!J111-3))</f>
        <v>6.0475007673568495</v>
      </c>
      <c r="H17" s="54">
        <f>'Berechnung der Werte'!D111-3</f>
        <v>37</v>
      </c>
      <c r="I17" s="99">
        <f>'Berechnung der Werte'!J111-3</f>
        <v>33.450406465905225</v>
      </c>
      <c r="J17" s="99">
        <f>('Berechnung der Werte'!E111*6)/(Materialdaten!H47*('Berechnung der Werte'!J111-3)*('Berechnung der Werte'!J111-3))</f>
        <v>3.7796879795980307</v>
      </c>
      <c r="K17" s="52">
        <f>'Berechnung der Werte'!D111-3</f>
        <v>37</v>
      </c>
      <c r="L17" s="99">
        <f>'Berechnung der Werte'!J111-3</f>
        <v>33.450406465905225</v>
      </c>
      <c r="M17" s="99">
        <f>(('Berechnung der Werte'!E111/(Materialdaten!H5*0.1)))^(1/3)</f>
        <v>21.948234196092557</v>
      </c>
      <c r="N17" s="52">
        <f>'Berechnung der Werte'!D111-3</f>
        <v>37</v>
      </c>
      <c r="O17" s="99">
        <f>(('Berechnung der Werte'!E111/(Materialdaten!H9*0.1)))^(1/3)</f>
        <v>22.425518518464617</v>
      </c>
      <c r="P17" s="52">
        <f>'Berechnung der Werte'!D111-3</f>
        <v>37</v>
      </c>
      <c r="Q17" s="99">
        <f>(('Berechnung der Werte'!E111/(Materialdaten!H47*0.1)))^(1/3)</f>
        <v>19.173548629163673</v>
      </c>
      <c r="R17" s="52">
        <f>'Berechnung der Werte'!D111-3</f>
        <v>37</v>
      </c>
    </row>
    <row r="18" spans="1:18" ht="15">
      <c r="A18" s="18" t="s">
        <v>49</v>
      </c>
      <c r="B18" s="14">
        <f>'Berechnung der Werte'!C112</f>
        <v>500</v>
      </c>
      <c r="C18" s="53">
        <f>'Berechnung der Werte'!D112</f>
        <v>35.11</v>
      </c>
      <c r="D18" s="99">
        <f>('Berechnung der Werte'!E112*6)/(Materialdaten!H5*('Berechnung der Werte'!J112-3)*('Berechnung der Werte'!J112-3))</f>
        <v>4.908387138290905</v>
      </c>
      <c r="E18" s="54">
        <f>'Berechnung der Werte'!D112-3</f>
        <v>32.11</v>
      </c>
      <c r="F18" s="99">
        <f>'Berechnung der Werte'!J112-3</f>
        <v>30.408331692055995</v>
      </c>
      <c r="G18" s="99">
        <f>('Berechnung der Werte'!E112*6)/(Materialdaten!H9*('Berechnung der Werte'!J112-3)*('Berechnung der Werte'!J112-3))</f>
        <v>5.235612947510298</v>
      </c>
      <c r="H18" s="54">
        <f>'Berechnung der Werte'!D112-3</f>
        <v>32.11</v>
      </c>
      <c r="I18" s="99">
        <f>'Berechnung der Werte'!J112-3</f>
        <v>30.408331692055995</v>
      </c>
      <c r="J18" s="99">
        <f>('Berechnung der Werte'!E112*6)/(Materialdaten!H47*('Berechnung der Werte'!J112-3)*('Berechnung der Werte'!J112-3))</f>
        <v>3.2722580921939364</v>
      </c>
      <c r="K18" s="52">
        <f>'Berechnung der Werte'!D112-3</f>
        <v>32.11</v>
      </c>
      <c r="L18" s="99">
        <f>'Berechnung der Werte'!J112-3</f>
        <v>30.408331692055995</v>
      </c>
      <c r="M18" s="99">
        <f>(('Berechnung der Werte'!E112/(Materialdaten!H5*0.1)))^(1/3)</f>
        <v>19.630178509689557</v>
      </c>
      <c r="N18" s="52">
        <f>'Berechnung der Werte'!D112-3</f>
        <v>32.11</v>
      </c>
      <c r="O18" s="99">
        <f>(('Berechnung der Werte'!E112/(Materialdaten!H9*0.1)))^(1/3)</f>
        <v>20.05705460205911</v>
      </c>
      <c r="P18" s="52">
        <f>'Berechnung der Werte'!D112-3</f>
        <v>32.11</v>
      </c>
      <c r="Q18" s="99">
        <f>(('Berechnung der Werte'!E112/(Materialdaten!H47*0.1)))^(1/3)</f>
        <v>17.148540465351118</v>
      </c>
      <c r="R18" s="52">
        <f>'Berechnung der Werte'!D112-3</f>
        <v>32.11</v>
      </c>
    </row>
    <row r="19" spans="1:18" ht="15">
      <c r="A19" s="13" t="s">
        <v>45</v>
      </c>
      <c r="B19" s="14">
        <f>'Berechnung der Werte'!C113</f>
        <v>625</v>
      </c>
      <c r="C19" s="53">
        <f>'Berechnung der Werte'!D113</f>
        <v>33.58</v>
      </c>
      <c r="D19" s="99">
        <f>('Berechnung der Werte'!E113*6)/(Materialdaten!H5*('Berechnung der Werte'!J113-3)*('Berechnung der Werte'!J113-3))</f>
        <v>4.630947418139374</v>
      </c>
      <c r="E19" s="54">
        <f>'Berechnung der Werte'!D113-3</f>
        <v>30.58</v>
      </c>
      <c r="F19" s="99">
        <f>'Berechnung der Werte'!J113-3</f>
        <v>29.404021550401765</v>
      </c>
      <c r="G19" s="99">
        <f>('Berechnung der Werte'!E113*6)/(Materialdaten!H9*('Berechnung der Werte'!J113-3)*('Berechnung der Werte'!J113-3))</f>
        <v>4.939677246015333</v>
      </c>
      <c r="H19" s="54">
        <f>'Berechnung der Werte'!D113-3</f>
        <v>30.58</v>
      </c>
      <c r="I19" s="99">
        <f>'Berechnung der Werte'!J113-3</f>
        <v>29.404021550401765</v>
      </c>
      <c r="J19" s="99">
        <f>('Berechnung der Werte'!E113*6)/(Materialdaten!H47*('Berechnung der Werte'!J113-3)*('Berechnung der Werte'!J113-3))</f>
        <v>3.0872982787595826</v>
      </c>
      <c r="K19" s="52">
        <f>'Berechnung der Werte'!D113-3</f>
        <v>30.58</v>
      </c>
      <c r="L19" s="99">
        <f>'Berechnung der Werte'!J113-3</f>
        <v>29.404021550401765</v>
      </c>
      <c r="M19" s="99">
        <f>(('Berechnung der Werte'!E113/(Materialdaten!H5*0.1)))^(1/3)</f>
        <v>18.82683666072438</v>
      </c>
      <c r="N19" s="52">
        <f>'Berechnung der Werte'!D113-3</f>
        <v>30.58</v>
      </c>
      <c r="O19" s="99">
        <f>(('Berechnung der Werte'!E113/(Materialdaten!H9*0.1)))^(1/3)</f>
        <v>19.236243353661116</v>
      </c>
      <c r="P19" s="52">
        <f>'Berechnung der Werte'!D113-3</f>
        <v>30.58</v>
      </c>
      <c r="Q19" s="99">
        <f>(('Berechnung der Werte'!E113/(Materialdaten!H47*0.1)))^(1/3)</f>
        <v>16.446756719589985</v>
      </c>
      <c r="R19" s="52">
        <f>'Berechnung der Werte'!D113-3</f>
        <v>30.58</v>
      </c>
    </row>
    <row r="20" spans="1:18" ht="15">
      <c r="A20" s="18" t="s">
        <v>49</v>
      </c>
      <c r="B20" s="14">
        <f>'Berechnung der Werte'!C114</f>
        <v>1000</v>
      </c>
      <c r="C20" s="53">
        <f>'Berechnung der Werte'!D114</f>
        <v>30.23</v>
      </c>
      <c r="D20" s="99">
        <f>('Berechnung der Werte'!E114*6)/(Materialdaten!H5*('Berechnung der Werte'!J114-3)*('Berechnung der Werte'!J114-3))</f>
        <v>4.265361262434447</v>
      </c>
      <c r="E20" s="54">
        <f>'Berechnung der Werte'!D114-3</f>
        <v>27.23</v>
      </c>
      <c r="F20" s="99">
        <f>'Berechnung der Werte'!J114-3</f>
        <v>24.69291149682144</v>
      </c>
      <c r="G20" s="99">
        <f>('Berechnung der Werte'!E114*6)/(Materialdaten!H9*('Berechnung der Werte'!J114-3)*('Berechnung der Werte'!J114-3))</f>
        <v>4.549718679930077</v>
      </c>
      <c r="H20" s="54">
        <f>'Berechnung der Werte'!D114-3</f>
        <v>27.23</v>
      </c>
      <c r="I20" s="99">
        <f>'Berechnung der Werte'!J114-3</f>
        <v>24.69291149682144</v>
      </c>
      <c r="J20" s="99">
        <f>('Berechnung der Werte'!E114*6)/(Materialdaten!H47*('Berechnung der Werte'!J114-3)*('Berechnung der Werte'!J114-3))</f>
        <v>2.843574174956298</v>
      </c>
      <c r="K20" s="52">
        <f>'Berechnung der Werte'!D114-3</f>
        <v>27.23</v>
      </c>
      <c r="L20" s="99">
        <f>'Berechnung der Werte'!J114-3</f>
        <v>24.69291149682144</v>
      </c>
      <c r="M20" s="99">
        <f>(('Berechnung der Werte'!E114/(Materialdaten!H5*0.1)))^(1/3)</f>
        <v>16.304834311566626</v>
      </c>
      <c r="N20" s="52">
        <f>'Berechnung der Werte'!D114-3</f>
        <v>27.23</v>
      </c>
      <c r="O20" s="99">
        <f>(('Berechnung der Werte'!E114/(Materialdaten!H9*0.1)))^(1/3)</f>
        <v>16.65939776875674</v>
      </c>
      <c r="P20" s="52">
        <f>'Berechnung der Werte'!D114-3</f>
        <v>27.23</v>
      </c>
      <c r="Q20" s="99">
        <f>(('Berechnung der Werte'!E114/(Materialdaten!H47*0.1)))^(1/3)</f>
        <v>14.243584735346728</v>
      </c>
      <c r="R20" s="52">
        <f>'Berechnung der Werte'!D114-3</f>
        <v>27.23</v>
      </c>
    </row>
    <row r="21" spans="1:18" ht="15">
      <c r="A21" s="13" t="s">
        <v>46</v>
      </c>
      <c r="B21" s="14">
        <f>'Berechnung der Werte'!C115</f>
        <v>1125</v>
      </c>
      <c r="C21" s="53">
        <f>'Berechnung der Werte'!D115</f>
        <v>28.44</v>
      </c>
      <c r="D21" s="99">
        <f>('Berechnung der Werte'!E115*6)/(Materialdaten!H5*('Berechnung der Werte'!J115-3)*('Berechnung der Werte'!J115-3))</f>
        <v>4.120558990234298</v>
      </c>
      <c r="E21" s="54">
        <f>'Berechnung der Werte'!D115-3</f>
        <v>25.44</v>
      </c>
      <c r="F21" s="99">
        <f>'Berechnung der Werte'!J115-3</f>
        <v>23.106742115222897</v>
      </c>
      <c r="G21" s="99">
        <f>('Berechnung der Werte'!E115*6)/(Materialdaten!H9*('Berechnung der Werte'!J115-3)*('Berechnung der Werte'!J115-3))</f>
        <v>4.395262922916585</v>
      </c>
      <c r="H21" s="54">
        <f>'Berechnung der Werte'!D115-3</f>
        <v>25.44</v>
      </c>
      <c r="I21" s="99">
        <f>'Berechnung der Werte'!J115-3</f>
        <v>23.106742115222897</v>
      </c>
      <c r="J21" s="99">
        <f>('Berechnung der Werte'!E115*6)/(Materialdaten!H47*('Berechnung der Werte'!J115-3)*('Berechnung der Werte'!J115-3))</f>
        <v>2.7470393268228657</v>
      </c>
      <c r="K21" s="52">
        <f>'Berechnung der Werte'!D115-3</f>
        <v>25.44</v>
      </c>
      <c r="L21" s="99">
        <f>'Berechnung der Werte'!J115-3</f>
        <v>23.106742115222897</v>
      </c>
      <c r="M21" s="99">
        <f>(('Berechnung der Werte'!E115/(Materialdaten!H5*0.1)))^(1/3)</f>
        <v>15.420345584399927</v>
      </c>
      <c r="N21" s="52">
        <f>'Berechnung der Werte'!D115-3</f>
        <v>25.44</v>
      </c>
      <c r="O21" s="99">
        <f>(('Berechnung der Werte'!E115/(Materialdaten!H9*0.1)))^(1/3)</f>
        <v>15.755675029458585</v>
      </c>
      <c r="P21" s="52">
        <f>'Berechnung der Werte'!D115-3</f>
        <v>25.44</v>
      </c>
      <c r="Q21" s="99">
        <f>(('Berechnung der Werte'!E115/(Materialdaten!H47*0.1)))^(1/3)</f>
        <v>13.470912662014417</v>
      </c>
      <c r="R21" s="52">
        <f>'Berechnung der Werte'!D115-3</f>
        <v>25.44</v>
      </c>
    </row>
    <row r="22" spans="1:18" ht="15">
      <c r="A22" s="18" t="s">
        <v>49</v>
      </c>
      <c r="B22" s="14">
        <f>'Berechnung der Werte'!C116</f>
        <v>1230</v>
      </c>
      <c r="C22" s="53">
        <f>'Berechnung der Werte'!D116</f>
        <v>27.96</v>
      </c>
      <c r="D22" s="99">
        <f>('Berechnung der Werte'!E116*6)/(Materialdaten!H5*('Berechnung der Werte'!J116-3)*('Berechnung der Werte'!J116-3))</f>
        <v>4.1281560141408935</v>
      </c>
      <c r="E22" s="54">
        <f>'Berechnung der Werte'!D116-3</f>
        <v>24.96</v>
      </c>
      <c r="F22" s="99">
        <f>'Berechnung der Werte'!J116-3</f>
        <v>21.39334197243426</v>
      </c>
      <c r="G22" s="99">
        <f>('Berechnung der Werte'!E116*6)/(Materialdaten!H9*('Berechnung der Werte'!J116-3)*('Berechnung der Werte'!J116-3))</f>
        <v>4.403366415083619</v>
      </c>
      <c r="H22" s="54">
        <f>'Berechnung der Werte'!D116-3</f>
        <v>24.96</v>
      </c>
      <c r="I22" s="99">
        <f>'Berechnung der Werte'!J116-3</f>
        <v>21.39334197243426</v>
      </c>
      <c r="J22" s="99">
        <f>('Berechnung der Werte'!E116*6)/(Materialdaten!H47*('Berechnung der Werte'!J116-3)*('Berechnung der Werte'!J116-3))</f>
        <v>2.7521040094272617</v>
      </c>
      <c r="K22" s="52">
        <f>'Berechnung der Werte'!D116-3</f>
        <v>24.96</v>
      </c>
      <c r="L22" s="99">
        <f>'Berechnung der Werte'!J116-3</f>
        <v>21.39334197243426</v>
      </c>
      <c r="M22" s="99">
        <f>(('Berechnung der Werte'!E116/(Materialdaten!H5*0.1)))^(1/3)</f>
        <v>14.657302112660675</v>
      </c>
      <c r="N22" s="52">
        <f>'Berechnung der Werte'!D116-3</f>
        <v>24.96</v>
      </c>
      <c r="O22" s="99">
        <f>(('Berechnung der Werte'!E116/(Materialdaten!H9*0.1)))^(1/3)</f>
        <v>14.976038483165109</v>
      </c>
      <c r="P22" s="52">
        <f>'Berechnung der Werte'!D116-3</f>
        <v>24.96</v>
      </c>
      <c r="Q22" s="99">
        <f>(('Berechnung der Werte'!E116/(Materialdaten!H47*0.1)))^(1/3)</f>
        <v>12.804332791358448</v>
      </c>
      <c r="R22" s="52">
        <f>'Berechnung der Werte'!D116-3</f>
        <v>24.96</v>
      </c>
    </row>
    <row r="23" spans="1:18" ht="15">
      <c r="A23" s="13" t="s">
        <v>47</v>
      </c>
      <c r="B23" s="14">
        <f>'Berechnung der Werte'!C117</f>
        <v>1355</v>
      </c>
      <c r="C23" s="53">
        <f>'Berechnung der Werte'!D117</f>
        <v>26.07</v>
      </c>
      <c r="D23" s="99">
        <f>('Berechnung der Werte'!E117*6)/(Materialdaten!H5*('Berechnung der Werte'!J117-3)*('Berechnung der Werte'!J117-3))</f>
        <v>4.1567900039176955</v>
      </c>
      <c r="E23" s="54">
        <f>'Berechnung der Werte'!D117-3</f>
        <v>23.07</v>
      </c>
      <c r="F23" s="99">
        <f>'Berechnung der Werte'!J117-3</f>
        <v>19.3120419992026</v>
      </c>
      <c r="G23" s="99">
        <f>('Berechnung der Werte'!E117*6)/(Materialdaten!H9*('Berechnung der Werte'!J117-3)*('Berechnung der Werte'!J117-3))</f>
        <v>4.433909337512209</v>
      </c>
      <c r="H23" s="54">
        <f>'Berechnung der Werte'!D117-3</f>
        <v>23.07</v>
      </c>
      <c r="I23" s="99">
        <f>'Berechnung der Werte'!J117-3</f>
        <v>19.3120419992026</v>
      </c>
      <c r="J23" s="99">
        <f>('Berechnung der Werte'!E117*6)/(Materialdaten!H47*('Berechnung der Werte'!J117-3)*('Berechnung der Werte'!J117-3))</f>
        <v>2.7711933359451306</v>
      </c>
      <c r="K23" s="52">
        <f>'Berechnung der Werte'!D117-3</f>
        <v>23.07</v>
      </c>
      <c r="L23" s="99">
        <f>'Berechnung der Werte'!J117-3</f>
        <v>19.3120419992026</v>
      </c>
      <c r="M23" s="99">
        <f>(('Berechnung der Werte'!E117/(Materialdaten!H5*0.1)))^(1/3)</f>
        <v>13.722115685853913</v>
      </c>
      <c r="N23" s="52">
        <f>'Berechnung der Werte'!D117-3</f>
        <v>23.07</v>
      </c>
      <c r="O23" s="99">
        <f>(('Berechnung der Werte'!E117/(Materialdaten!H9*0.1)))^(1/3)</f>
        <v>14.02051557662051</v>
      </c>
      <c r="P23" s="52">
        <f>'Berechnung der Werte'!D117-3</f>
        <v>23.07</v>
      </c>
      <c r="Q23" s="99">
        <f>(('Berechnung der Werte'!E117/(Materialdaten!H47*0.1)))^(1/3)</f>
        <v>11.987372198013519</v>
      </c>
      <c r="R23" s="52">
        <f>'Berechnung der Werte'!D117-3</f>
        <v>23.07</v>
      </c>
    </row>
    <row r="26" spans="1:4" ht="15">
      <c r="A26" s="136" t="s">
        <v>128</v>
      </c>
      <c r="B26" s="136"/>
      <c r="C26" s="136"/>
      <c r="D26" s="136"/>
    </row>
    <row r="27" spans="1:4" ht="15">
      <c r="A27" s="136"/>
      <c r="B27" s="136"/>
      <c r="C27" s="136"/>
      <c r="D27" s="136"/>
    </row>
    <row r="28" spans="1:4" ht="15">
      <c r="A28" s="136"/>
      <c r="B28" s="136"/>
      <c r="C28" s="136"/>
      <c r="D28" s="136"/>
    </row>
    <row r="29" spans="1:4" ht="15">
      <c r="A29" s="136"/>
      <c r="B29" s="136"/>
      <c r="C29" s="136"/>
      <c r="D29" s="136"/>
    </row>
    <row r="32" ht="31.5" customHeight="1"/>
    <row r="33" ht="15">
      <c r="K33" s="156"/>
    </row>
    <row r="34" ht="15">
      <c r="K34" s="156"/>
    </row>
    <row r="40" ht="20.25">
      <c r="B40" s="65" t="s">
        <v>219</v>
      </c>
    </row>
    <row r="46" spans="3:4" ht="15">
      <c r="C46" s="5"/>
      <c r="D46" s="9"/>
    </row>
    <row r="47" spans="3:10" ht="15">
      <c r="C47" s="5"/>
      <c r="D47" s="9"/>
      <c r="J47" s="9"/>
    </row>
    <row r="48" spans="3:4" ht="15">
      <c r="C48" s="5"/>
      <c r="D48" s="9"/>
    </row>
    <row r="54" ht="15">
      <c r="D54" s="113"/>
    </row>
    <row r="55" spans="3:7" ht="15">
      <c r="C55" s="112" t="s">
        <v>226</v>
      </c>
      <c r="F55" s="115">
        <f>F16</f>
        <v>33.29074069055882</v>
      </c>
      <c r="G55" t="s">
        <v>4</v>
      </c>
    </row>
    <row r="56" spans="3:7" ht="15">
      <c r="C56" s="112" t="s">
        <v>225</v>
      </c>
      <c r="F56" s="116">
        <v>25</v>
      </c>
      <c r="G56" t="s">
        <v>4</v>
      </c>
    </row>
    <row r="57" spans="5:7" ht="15">
      <c r="E57" t="s">
        <v>220</v>
      </c>
      <c r="F57" s="96">
        <f>'Berechnung der Werte'!$E$110</f>
        <v>935005.8557812499</v>
      </c>
      <c r="G57" t="s">
        <v>221</v>
      </c>
    </row>
    <row r="58" spans="5:7" ht="15">
      <c r="E58" s="112" t="s">
        <v>222</v>
      </c>
      <c r="F58">
        <v>800</v>
      </c>
      <c r="G58" s="112" t="s">
        <v>221</v>
      </c>
    </row>
    <row r="59" spans="4:7" ht="15">
      <c r="D59" s="112" t="s">
        <v>223</v>
      </c>
      <c r="E59" s="112"/>
      <c r="F59" s="111">
        <v>30</v>
      </c>
      <c r="G59" s="112" t="s">
        <v>4</v>
      </c>
    </row>
    <row r="61" ht="15">
      <c r="D61" s="113"/>
    </row>
    <row r="62" spans="2:8" ht="15">
      <c r="B62" s="112" t="s">
        <v>224</v>
      </c>
      <c r="F62" s="114">
        <f>POWER(POWER(F56,3)-(F57*6*F56/F58/F59),1/3)</f>
        <v>21.386066425011396</v>
      </c>
      <c r="G62" s="112" t="s">
        <v>4</v>
      </c>
      <c r="H62" s="112" t="s">
        <v>228</v>
      </c>
    </row>
    <row r="63" spans="5:7" ht="15">
      <c r="E63" s="112" t="s">
        <v>227</v>
      </c>
      <c r="F63" s="118">
        <f>(F56-F62)/2</f>
        <v>1.8069667874943018</v>
      </c>
      <c r="G63" s="112" t="s">
        <v>4</v>
      </c>
    </row>
    <row r="67" ht="15">
      <c r="A67" t="s">
        <v>261</v>
      </c>
    </row>
    <row r="69" spans="2:4" ht="15">
      <c r="B69" t="s">
        <v>262</v>
      </c>
      <c r="C69">
        <f>5*('Berechnung der Werte'!C22*'Berechnung der Werte'!E22/100)</f>
        <v>199.5</v>
      </c>
      <c r="D69" t="s">
        <v>4</v>
      </c>
    </row>
  </sheetData>
  <sheetProtection/>
  <mergeCells count="11">
    <mergeCell ref="K33:K34"/>
    <mergeCell ref="M13:R13"/>
    <mergeCell ref="M14:N14"/>
    <mergeCell ref="O14:P14"/>
    <mergeCell ref="Q14:R14"/>
    <mergeCell ref="A26:D29"/>
    <mergeCell ref="A3:I3"/>
    <mergeCell ref="D14:F14"/>
    <mergeCell ref="D13:L13"/>
    <mergeCell ref="G14:I14"/>
    <mergeCell ref="J14:L14"/>
  </mergeCells>
  <printOptions/>
  <pageMargins left="0.787401575" right="0.787401575" top="0.984251969" bottom="0.984251969" header="0.4921259845" footer="0.4921259845"/>
  <pageSetup fitToHeight="2" fitToWidth="1" horizontalDpi="600" verticalDpi="600" orientation="landscape" paperSize="9" scale="42"/>
  <drawing r:id="rId1"/>
</worksheet>
</file>

<file path=xl/worksheets/sheet4.xml><?xml version="1.0" encoding="utf-8"?>
<worksheet xmlns="http://schemas.openxmlformats.org/spreadsheetml/2006/main" xmlns:r="http://schemas.openxmlformats.org/officeDocument/2006/relationships">
  <sheetPr codeName="Tabelle3">
    <pageSetUpPr fitToPage="1"/>
  </sheetPr>
  <dimension ref="B1:E30"/>
  <sheetViews>
    <sheetView zoomScalePageLayoutView="0" workbookViewId="0" topLeftCell="A1">
      <selection activeCell="F18" sqref="F18"/>
    </sheetView>
  </sheetViews>
  <sheetFormatPr defaultColWidth="11.5546875" defaultRowHeight="15"/>
  <cols>
    <col min="1" max="1" width="8.6640625" style="0" customWidth="1"/>
    <col min="2" max="2" width="44.3359375" style="0" customWidth="1"/>
    <col min="3" max="3" width="7.4453125" style="0" customWidth="1"/>
  </cols>
  <sheetData>
    <row r="1" ht="15">
      <c r="B1" s="85" t="s">
        <v>186</v>
      </c>
    </row>
    <row r="2" spans="2:3" ht="15">
      <c r="B2" s="81" t="s">
        <v>176</v>
      </c>
      <c r="C2" s="82"/>
    </row>
    <row r="3" spans="2:3" ht="5.25" customHeight="1">
      <c r="B3" s="68"/>
      <c r="C3" s="70"/>
    </row>
    <row r="4" spans="2:5" ht="15">
      <c r="B4" s="83" t="s">
        <v>177</v>
      </c>
      <c r="C4" s="97">
        <v>1600</v>
      </c>
      <c r="E4" s="64" t="s">
        <v>205</v>
      </c>
    </row>
    <row r="5" spans="2:5" ht="15">
      <c r="B5" s="83" t="s">
        <v>178</v>
      </c>
      <c r="C5" s="70">
        <v>1</v>
      </c>
      <c r="E5" s="64"/>
    </row>
    <row r="6" spans="2:3" ht="15">
      <c r="B6" s="83" t="s">
        <v>179</v>
      </c>
      <c r="C6" s="97">
        <v>200</v>
      </c>
    </row>
    <row r="7" spans="2:3" ht="6" customHeight="1">
      <c r="B7" s="83"/>
      <c r="C7" s="70"/>
    </row>
    <row r="8" spans="2:5" ht="15">
      <c r="B8" s="84" t="s">
        <v>180</v>
      </c>
      <c r="C8" s="98">
        <f>C5*C4/C6</f>
        <v>8</v>
      </c>
      <c r="E8" t="s">
        <v>190</v>
      </c>
    </row>
    <row r="10" spans="2:3" ht="15">
      <c r="B10" s="81" t="s">
        <v>181</v>
      </c>
      <c r="C10" s="82"/>
    </row>
    <row r="11" spans="2:3" ht="3.75" customHeight="1">
      <c r="B11" s="68"/>
      <c r="C11" s="70"/>
    </row>
    <row r="12" spans="2:3" ht="15">
      <c r="B12" s="83" t="s">
        <v>182</v>
      </c>
      <c r="C12" s="97">
        <v>3950</v>
      </c>
    </row>
    <row r="13" spans="2:3" ht="15">
      <c r="B13" s="83" t="s">
        <v>178</v>
      </c>
      <c r="C13" s="97">
        <v>1</v>
      </c>
    </row>
    <row r="14" spans="2:3" ht="15">
      <c r="B14" s="83" t="s">
        <v>183</v>
      </c>
      <c r="C14" s="97">
        <v>1600</v>
      </c>
    </row>
    <row r="15" spans="2:3" ht="15">
      <c r="B15" s="83" t="s">
        <v>184</v>
      </c>
      <c r="C15" s="97">
        <v>1.77</v>
      </c>
    </row>
    <row r="16" spans="2:3" ht="4.5" customHeight="1">
      <c r="B16" s="83"/>
      <c r="C16" s="70"/>
    </row>
    <row r="17" spans="2:3" ht="15">
      <c r="B17" s="83" t="s">
        <v>185</v>
      </c>
      <c r="C17" s="97">
        <v>2600</v>
      </c>
    </row>
    <row r="18" spans="2:3" ht="15">
      <c r="B18" s="83" t="s">
        <v>179</v>
      </c>
      <c r="C18" s="97">
        <v>250</v>
      </c>
    </row>
    <row r="19" spans="2:3" ht="15">
      <c r="B19" s="83" t="s">
        <v>184</v>
      </c>
      <c r="C19" s="97">
        <v>2.12</v>
      </c>
    </row>
    <row r="20" spans="2:3" ht="6.75" customHeight="1">
      <c r="B20" s="83"/>
      <c r="C20" s="70"/>
    </row>
    <row r="21" spans="2:3" ht="15">
      <c r="B21" s="84" t="s">
        <v>180</v>
      </c>
      <c r="C21" s="98">
        <f>(C12*C13*C14/C15)/(C17*C18/C19)</f>
        <v>11.645719252498914</v>
      </c>
    </row>
    <row r="22" ht="15">
      <c r="B22" s="85"/>
    </row>
    <row r="23" ht="15">
      <c r="B23" s="85"/>
    </row>
    <row r="25" ht="15">
      <c r="B25" s="85"/>
    </row>
    <row r="26" ht="15">
      <c r="B26" s="85"/>
    </row>
    <row r="27" ht="15">
      <c r="B27" s="85"/>
    </row>
    <row r="28" ht="15">
      <c r="B28" s="85"/>
    </row>
    <row r="29" ht="15">
      <c r="B29" s="85"/>
    </row>
    <row r="30" ht="15">
      <c r="B30" s="85"/>
    </row>
  </sheetData>
  <sheetProtection/>
  <printOptions/>
  <pageMargins left="0.7" right="0.7" top="0.787401575" bottom="0.787401575" header="0.3" footer="0.3"/>
  <pageSetup fitToHeight="1" fitToWidth="1" horizontalDpi="600" verticalDpi="600" orientation="landscape" paperSize="9" scale="9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GB TK-M-AD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Dr.Christian Baron</dc:creator>
  <cp:keywords/>
  <dc:description/>
  <cp:lastModifiedBy>Andreas Schmid</cp:lastModifiedBy>
  <cp:lastPrinted>2009-07-09T14:18:40Z</cp:lastPrinted>
  <dcterms:created xsi:type="dcterms:W3CDTF">2001-06-26T07:13:34Z</dcterms:created>
  <dcterms:modified xsi:type="dcterms:W3CDTF">2019-07-30T13:15:13Z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hinkcellXlWorkbookDoNotDelete" linkTarget="&lt;?xml version=&quot;1.0&quot; encoding=&quot;UTF-16&quot; standalone=&quot;yes&quot;?&gt;&#13;&#10;&lt;root&gt;&lt;version val=&quot;17241&quot;/&gt;&lt;partner val=&quot;530&quot;/&gt;&lt;CXlWorkbook id=&quot;1&quot;&gt;&lt;m_cxllink/&gt;&lt;/CXlWorkbook&gt;&lt;/root&gt;">
    <vt:bool>false</vt:bool>
  </property>
</Properties>
</file>